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H:\TARA GIBBONS\"/>
    </mc:Choice>
  </mc:AlternateContent>
  <xr:revisionPtr revIDLastSave="0" documentId="8_{C6F2F513-E755-45C3-87A7-D780EB90EC9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1 Projection" sheetId="3" r:id="rId1"/>
    <sheet name="vmp 2019_2020 budget" sheetId="1" r:id="rId2"/>
    <sheet name="Sheet1" sheetId="2" r:id="rId3"/>
  </sheets>
  <definedNames>
    <definedName name="_xlnm.Print_Area" localSheetId="0">'2021 Projection'!$A$1:$G$123</definedName>
    <definedName name="_xlnm.Print_Area" localSheetId="1">'vmp 2019_2020 budget'!$A$1:$AC$121</definedName>
    <definedName name="_xlnm.Print_Titles" localSheetId="0">'2021 Projection'!$2:$3</definedName>
    <definedName name="_xlnm.Print_Titles" localSheetId="1">'vmp 2019_2020 budget'!$2:$3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120" i="3" l="1"/>
  <c r="N4" i="3"/>
  <c r="P108" i="3"/>
  <c r="P106" i="3"/>
  <c r="P104" i="3"/>
  <c r="P92" i="3"/>
  <c r="P90" i="3"/>
  <c r="P88" i="3"/>
  <c r="P87" i="3"/>
  <c r="P85" i="3"/>
  <c r="P84" i="3"/>
  <c r="P83" i="3"/>
  <c r="P78" i="3"/>
  <c r="P74" i="3"/>
  <c r="P68" i="3"/>
  <c r="P67" i="3"/>
  <c r="P66" i="3"/>
  <c r="P64" i="3"/>
  <c r="P61" i="3"/>
  <c r="P54" i="3"/>
  <c r="P49" i="3"/>
  <c r="P56" i="3"/>
  <c r="P55" i="3"/>
  <c r="P120" i="3"/>
  <c r="L120" i="3"/>
  <c r="L119" i="3"/>
  <c r="P119" i="3" s="1"/>
  <c r="L118" i="3"/>
  <c r="P118" i="3" s="1"/>
  <c r="L117" i="3"/>
  <c r="P117" i="3" s="1"/>
  <c r="L116" i="3"/>
  <c r="P116" i="3" s="1"/>
  <c r="L115" i="3"/>
  <c r="P115" i="3" s="1"/>
  <c r="L114" i="3"/>
  <c r="P114" i="3" s="1"/>
  <c r="L113" i="3"/>
  <c r="P113" i="3" s="1"/>
  <c r="L112" i="3"/>
  <c r="P112" i="3" s="1"/>
  <c r="L111" i="3"/>
  <c r="P111" i="3" s="1"/>
  <c r="L110" i="3"/>
  <c r="P110" i="3" s="1"/>
  <c r="L109" i="3"/>
  <c r="P109" i="3" s="1"/>
  <c r="L107" i="3"/>
  <c r="P107" i="3" s="1"/>
  <c r="L105" i="3"/>
  <c r="P105" i="3" s="1"/>
  <c r="L103" i="3"/>
  <c r="P103" i="3" s="1"/>
  <c r="L102" i="3"/>
  <c r="P102" i="3" s="1"/>
  <c r="L101" i="3"/>
  <c r="P101" i="3" s="1"/>
  <c r="L100" i="3"/>
  <c r="P100" i="3" s="1"/>
  <c r="L99" i="3"/>
  <c r="P99" i="3" s="1"/>
  <c r="L98" i="3"/>
  <c r="P98" i="3" s="1"/>
  <c r="L97" i="3"/>
  <c r="P97" i="3" s="1"/>
  <c r="L96" i="3"/>
  <c r="P96" i="3" s="1"/>
  <c r="L95" i="3"/>
  <c r="P95" i="3" s="1"/>
  <c r="L94" i="3"/>
  <c r="P94" i="3" s="1"/>
  <c r="L93" i="3"/>
  <c r="P93" i="3" s="1"/>
  <c r="L91" i="3"/>
  <c r="P91" i="3" s="1"/>
  <c r="L90" i="3"/>
  <c r="L89" i="3"/>
  <c r="P89" i="3" s="1"/>
  <c r="L88" i="3"/>
  <c r="L82" i="3"/>
  <c r="P82" i="3" s="1"/>
  <c r="L81" i="3"/>
  <c r="P81" i="3" s="1"/>
  <c r="L80" i="3"/>
  <c r="P80" i="3" s="1"/>
  <c r="L79" i="3"/>
  <c r="P79" i="3" s="1"/>
  <c r="L77" i="3"/>
  <c r="P77" i="3" s="1"/>
  <c r="L76" i="3"/>
  <c r="P76" i="3" s="1"/>
  <c r="L75" i="3"/>
  <c r="P75" i="3" s="1"/>
  <c r="L74" i="3"/>
  <c r="L73" i="3"/>
  <c r="P73" i="3" s="1"/>
  <c r="L72" i="3"/>
  <c r="P72" i="3" s="1"/>
  <c r="L71" i="3"/>
  <c r="P71" i="3" s="1"/>
  <c r="L70" i="3"/>
  <c r="P70" i="3" s="1"/>
  <c r="L69" i="3"/>
  <c r="P69" i="3" s="1"/>
  <c r="L66" i="3"/>
  <c r="L65" i="3"/>
  <c r="P65" i="3" s="1"/>
  <c r="L64" i="3"/>
  <c r="L63" i="3"/>
  <c r="P63" i="3" s="1"/>
  <c r="L62" i="3"/>
  <c r="P62" i="3" s="1"/>
  <c r="L60" i="3"/>
  <c r="P60" i="3" s="1"/>
  <c r="L59" i="3"/>
  <c r="P59" i="3" s="1"/>
  <c r="L58" i="3"/>
  <c r="P58" i="3" s="1"/>
  <c r="L57" i="3"/>
  <c r="P57" i="3" s="1"/>
  <c r="L53" i="3"/>
  <c r="P53" i="3" s="1"/>
  <c r="L52" i="3"/>
  <c r="P52" i="3" s="1"/>
  <c r="L51" i="3"/>
  <c r="P51" i="3" s="1"/>
  <c r="L50" i="3"/>
  <c r="P50" i="3" s="1"/>
  <c r="L49" i="3"/>
  <c r="L48" i="3"/>
  <c r="P48" i="3" s="1"/>
  <c r="L47" i="3"/>
  <c r="P47" i="3" s="1"/>
  <c r="L46" i="3"/>
  <c r="P46" i="3" s="1"/>
  <c r="K36" i="3"/>
  <c r="L36" i="3" s="1"/>
  <c r="P36" i="3" s="1"/>
  <c r="L41" i="3"/>
  <c r="L40" i="3"/>
  <c r="P40" i="3" s="1"/>
  <c r="L39" i="3"/>
  <c r="P39" i="3" s="1"/>
  <c r="L38" i="3"/>
  <c r="P38" i="3" s="1"/>
  <c r="L35" i="3"/>
  <c r="P35" i="3" s="1"/>
  <c r="L34" i="3"/>
  <c r="P34" i="3" s="1"/>
  <c r="L33" i="3"/>
  <c r="P33" i="3" s="1"/>
  <c r="L32" i="3"/>
  <c r="P32" i="3" s="1"/>
  <c r="L31" i="3"/>
  <c r="P31" i="3" s="1"/>
  <c r="L29" i="3"/>
  <c r="P29" i="3" s="1"/>
  <c r="L28" i="3"/>
  <c r="P28" i="3" s="1"/>
  <c r="L27" i="3"/>
  <c r="P27" i="3" s="1"/>
  <c r="L26" i="3"/>
  <c r="P26" i="3" s="1"/>
  <c r="L24" i="3"/>
  <c r="P24" i="3" s="1"/>
  <c r="L23" i="3"/>
  <c r="P23" i="3" s="1"/>
  <c r="L20" i="3"/>
  <c r="P20" i="3" s="1"/>
  <c r="L17" i="3"/>
  <c r="P17" i="3" s="1"/>
  <c r="L16" i="3"/>
  <c r="P16" i="3" s="1"/>
  <c r="L15" i="3"/>
  <c r="P15" i="3" s="1"/>
  <c r="L14" i="3"/>
  <c r="P14" i="3" s="1"/>
  <c r="L13" i="3"/>
  <c r="P13" i="3" s="1"/>
  <c r="P12" i="3"/>
  <c r="L9" i="3"/>
  <c r="P9" i="3" s="1"/>
  <c r="L6" i="3"/>
  <c r="P6" i="3" s="1"/>
  <c r="L8" i="3"/>
  <c r="P8" i="3" s="1"/>
  <c r="P5" i="3"/>
  <c r="P7" i="3"/>
  <c r="P10" i="3"/>
  <c r="P11" i="3"/>
  <c r="P18" i="3"/>
  <c r="P19" i="3"/>
  <c r="P21" i="3"/>
  <c r="P22" i="3"/>
  <c r="P25" i="3"/>
  <c r="P30" i="3"/>
  <c r="P37" i="3"/>
  <c r="P41" i="3"/>
  <c r="P42" i="3"/>
  <c r="P43" i="3"/>
  <c r="L4" i="3"/>
  <c r="N44" i="3"/>
  <c r="L122" i="3" l="1"/>
  <c r="L44" i="3"/>
  <c r="P4" i="3"/>
  <c r="L124" i="3" l="1"/>
  <c r="K92" i="3" l="1"/>
  <c r="K122" i="3"/>
  <c r="K44" i="3"/>
  <c r="K124" i="3" l="1"/>
  <c r="H22" i="3"/>
  <c r="H44" i="3" s="1"/>
  <c r="C122" i="3"/>
  <c r="J55" i="3"/>
  <c r="AD120" i="1" l="1"/>
  <c r="AD42" i="1"/>
  <c r="J44" i="3"/>
  <c r="J46" i="3"/>
  <c r="J83" i="3"/>
  <c r="J87" i="3"/>
  <c r="AD121" i="1" l="1"/>
  <c r="P44" i="3"/>
  <c r="C25" i="3" l="1"/>
  <c r="C21" i="3"/>
  <c r="C4" i="3"/>
  <c r="E122" i="3"/>
  <c r="G86" i="3"/>
  <c r="G56" i="3"/>
  <c r="J56" i="3" s="1"/>
  <c r="G44" i="3"/>
  <c r="E22" i="3"/>
  <c r="E44" i="3" s="1"/>
  <c r="E124" i="3" l="1"/>
  <c r="C44" i="3"/>
  <c r="C124" i="3" s="1"/>
  <c r="J86" i="3"/>
  <c r="H122" i="3"/>
  <c r="G122" i="3"/>
  <c r="G124" i="3" s="1"/>
  <c r="D122" i="3"/>
  <c r="D44" i="3"/>
  <c r="AB120" i="1"/>
  <c r="AB22" i="1"/>
  <c r="AB42" i="1" s="1"/>
  <c r="J122" i="3" l="1"/>
  <c r="J124" i="3" s="1"/>
  <c r="D124" i="3"/>
  <c r="H124" i="3"/>
  <c r="N120" i="1"/>
  <c r="N42" i="1"/>
  <c r="AA4" i="1"/>
  <c r="AA6" i="1"/>
  <c r="AA7" i="1"/>
  <c r="AA8" i="1"/>
  <c r="AA9" i="1"/>
  <c r="AA10" i="1"/>
  <c r="AA11" i="1"/>
  <c r="AA13" i="1"/>
  <c r="AA14" i="1"/>
  <c r="AA15" i="1"/>
  <c r="AA18" i="1"/>
  <c r="AA19" i="1"/>
  <c r="AA22" i="1"/>
  <c r="AA25" i="1"/>
  <c r="AA26" i="1"/>
  <c r="AA27" i="1"/>
  <c r="AA28" i="1"/>
  <c r="AA35" i="1"/>
  <c r="AA36" i="1"/>
  <c r="AA37" i="1"/>
  <c r="AA38" i="1"/>
  <c r="AA45" i="1"/>
  <c r="AA46" i="1"/>
  <c r="AA47" i="1"/>
  <c r="AA49" i="1"/>
  <c r="AA52" i="1"/>
  <c r="AA53" i="1"/>
  <c r="AA57" i="1"/>
  <c r="AA58" i="1"/>
  <c r="AA59" i="1"/>
  <c r="AA60" i="1"/>
  <c r="AA61" i="1"/>
  <c r="AA62" i="1"/>
  <c r="AA63" i="1"/>
  <c r="AA71" i="1"/>
  <c r="AA73" i="1"/>
  <c r="AA74" i="1"/>
  <c r="AA75" i="1"/>
  <c r="AA77" i="1"/>
  <c r="AA78" i="1"/>
  <c r="AA81" i="1"/>
  <c r="AA82" i="1"/>
  <c r="AA83" i="1"/>
  <c r="AA84" i="1"/>
  <c r="AA85" i="1"/>
  <c r="AA86" i="1"/>
  <c r="AA87" i="1"/>
  <c r="AA89" i="1"/>
  <c r="AA94" i="1"/>
  <c r="AA95" i="1"/>
  <c r="AA98" i="1"/>
  <c r="AA101" i="1"/>
  <c r="AA102" i="1"/>
  <c r="AA104" i="1"/>
  <c r="AA109" i="1"/>
  <c r="AA110" i="1"/>
  <c r="AA111" i="1"/>
  <c r="AA117" i="1"/>
  <c r="Z120" i="1"/>
  <c r="U120" i="1"/>
  <c r="T120" i="1"/>
  <c r="T122" i="1" s="1"/>
  <c r="S120" i="1"/>
  <c r="S122" i="1" s="1"/>
  <c r="O120" i="1"/>
  <c r="M120" i="1"/>
  <c r="M122" i="1" s="1"/>
  <c r="I120" i="1"/>
  <c r="G120" i="1"/>
  <c r="F120" i="1"/>
  <c r="E120" i="1"/>
  <c r="D120" i="1"/>
  <c r="C120" i="1"/>
  <c r="P86" i="3" l="1"/>
  <c r="P122" i="3" s="1"/>
  <c r="N122" i="3"/>
  <c r="N124" i="3" s="1"/>
  <c r="N122" i="1"/>
  <c r="Z21" i="1"/>
  <c r="Z25" i="1"/>
  <c r="AC55" i="1"/>
  <c r="Z4" i="1" l="1"/>
  <c r="Z42" i="1" s="1"/>
  <c r="Z122" i="1" s="1"/>
  <c r="W118" i="1" l="1"/>
  <c r="Y117" i="1"/>
  <c r="V117" i="1"/>
  <c r="W117" i="1" s="1"/>
  <c r="K117" i="1"/>
  <c r="P117" i="1" s="1"/>
  <c r="V116" i="1"/>
  <c r="W116" i="1" s="1"/>
  <c r="K116" i="1"/>
  <c r="P116" i="1" s="1"/>
  <c r="V115" i="1"/>
  <c r="W115" i="1" s="1"/>
  <c r="R115" i="1"/>
  <c r="AA115" i="1" s="1"/>
  <c r="H115" i="1"/>
  <c r="L115" i="1" s="1"/>
  <c r="V114" i="1"/>
  <c r="W114" i="1" s="1"/>
  <c r="K114" i="1"/>
  <c r="J114" i="1"/>
  <c r="J120" i="1" s="1"/>
  <c r="H114" i="1"/>
  <c r="V113" i="1"/>
  <c r="W113" i="1" s="1"/>
  <c r="R113" i="1"/>
  <c r="H113" i="1"/>
  <c r="L113" i="1" s="1"/>
  <c r="V112" i="1"/>
  <c r="W112" i="1" s="1"/>
  <c r="R112" i="1"/>
  <c r="K112" i="1"/>
  <c r="H112" i="1"/>
  <c r="V111" i="1"/>
  <c r="W111" i="1" s="1"/>
  <c r="H111" i="1"/>
  <c r="L111" i="1" s="1"/>
  <c r="V110" i="1"/>
  <c r="W110" i="1" s="1"/>
  <c r="P110" i="1"/>
  <c r="H110" i="1"/>
  <c r="L110" i="1" s="1"/>
  <c r="V109" i="1"/>
  <c r="W109" i="1" s="1"/>
  <c r="K109" i="1"/>
  <c r="H109" i="1"/>
  <c r="V107" i="1"/>
  <c r="W107" i="1" s="1"/>
  <c r="L107" i="1"/>
  <c r="V106" i="1"/>
  <c r="W106" i="1" s="1"/>
  <c r="L106" i="1"/>
  <c r="Y105" i="1"/>
  <c r="V105" i="1"/>
  <c r="W105" i="1" s="1"/>
  <c r="R105" i="1"/>
  <c r="AA105" i="1" s="1"/>
  <c r="H105" i="1"/>
  <c r="L105" i="1" s="1"/>
  <c r="V108" i="1"/>
  <c r="W108" i="1" s="1"/>
  <c r="R108" i="1"/>
  <c r="AA108" i="1" s="1"/>
  <c r="P108" i="1"/>
  <c r="H108" i="1"/>
  <c r="L108" i="1" s="1"/>
  <c r="V104" i="1"/>
  <c r="W104" i="1" s="1"/>
  <c r="H104" i="1"/>
  <c r="L104" i="1" s="1"/>
  <c r="V103" i="1"/>
  <c r="W103" i="1" s="1"/>
  <c r="K103" i="1"/>
  <c r="P103" i="1" s="1"/>
  <c r="H103" i="1"/>
  <c r="V102" i="1"/>
  <c r="W102" i="1" s="1"/>
  <c r="K102" i="1"/>
  <c r="P102" i="1" s="1"/>
  <c r="V101" i="1"/>
  <c r="W101" i="1" s="1"/>
  <c r="K101" i="1"/>
  <c r="P101" i="1" s="1"/>
  <c r="H101" i="1"/>
  <c r="V100" i="1"/>
  <c r="W100" i="1" s="1"/>
  <c r="R100" i="1"/>
  <c r="AA100" i="1" s="1"/>
  <c r="H100" i="1"/>
  <c r="L100" i="1" s="1"/>
  <c r="V99" i="1"/>
  <c r="W99" i="1" s="1"/>
  <c r="K99" i="1"/>
  <c r="H99" i="1"/>
  <c r="V98" i="1"/>
  <c r="W98" i="1" s="1"/>
  <c r="K98" i="1"/>
  <c r="H98" i="1"/>
  <c r="V97" i="1"/>
  <c r="W97" i="1" s="1"/>
  <c r="V96" i="1"/>
  <c r="W96" i="1" s="1"/>
  <c r="P96" i="1"/>
  <c r="L96" i="1"/>
  <c r="V95" i="1"/>
  <c r="W95" i="1" s="1"/>
  <c r="K95" i="1"/>
  <c r="P95" i="1" s="1"/>
  <c r="H95" i="1"/>
  <c r="V94" i="1"/>
  <c r="W94" i="1" s="1"/>
  <c r="K94" i="1"/>
  <c r="H94" i="1"/>
  <c r="V93" i="1"/>
  <c r="W93" i="1" s="1"/>
  <c r="R93" i="1"/>
  <c r="AA93" i="1" s="1"/>
  <c r="P93" i="1"/>
  <c r="K93" i="1"/>
  <c r="H93" i="1"/>
  <c r="W92" i="1"/>
  <c r="R92" i="1"/>
  <c r="AA92" i="1" s="1"/>
  <c r="V91" i="1"/>
  <c r="W91" i="1" s="1"/>
  <c r="H91" i="1"/>
  <c r="L91" i="1" s="1"/>
  <c r="V90" i="1"/>
  <c r="W90" i="1" s="1"/>
  <c r="K90" i="1"/>
  <c r="P90" i="1" s="1"/>
  <c r="V89" i="1"/>
  <c r="W89" i="1" s="1"/>
  <c r="P89" i="1"/>
  <c r="H89" i="1"/>
  <c r="L89" i="1" s="1"/>
  <c r="V88" i="1"/>
  <c r="W88" i="1" s="1"/>
  <c r="R88" i="1"/>
  <c r="Q88" i="1"/>
  <c r="Q120" i="1" s="1"/>
  <c r="K88" i="1"/>
  <c r="L88" i="1" s="1"/>
  <c r="V87" i="1"/>
  <c r="W87" i="1" s="1"/>
  <c r="L87" i="1"/>
  <c r="V86" i="1"/>
  <c r="W86" i="1" s="1"/>
  <c r="H86" i="1"/>
  <c r="L86" i="1" s="1"/>
  <c r="V85" i="1"/>
  <c r="W85" i="1" s="1"/>
  <c r="P85" i="1"/>
  <c r="H85" i="1"/>
  <c r="L85" i="1" s="1"/>
  <c r="W84" i="1"/>
  <c r="V83" i="1"/>
  <c r="W83" i="1" s="1"/>
  <c r="K83" i="1"/>
  <c r="L83" i="1" s="1"/>
  <c r="V82" i="1"/>
  <c r="W82" i="1" s="1"/>
  <c r="K82" i="1"/>
  <c r="H82" i="1"/>
  <c r="V81" i="1"/>
  <c r="W81" i="1" s="1"/>
  <c r="K81" i="1"/>
  <c r="L81" i="1" s="1"/>
  <c r="V80" i="1"/>
  <c r="W80" i="1" s="1"/>
  <c r="R80" i="1"/>
  <c r="AA80" i="1" s="1"/>
  <c r="K80" i="1"/>
  <c r="H80" i="1"/>
  <c r="V79" i="1"/>
  <c r="W79" i="1" s="1"/>
  <c r="R79" i="1"/>
  <c r="AA79" i="1" s="1"/>
  <c r="H79" i="1"/>
  <c r="L79" i="1" s="1"/>
  <c r="V78" i="1"/>
  <c r="W78" i="1" s="1"/>
  <c r="P78" i="1"/>
  <c r="H78" i="1"/>
  <c r="L78" i="1" s="1"/>
  <c r="V77" i="1"/>
  <c r="W77" i="1" s="1"/>
  <c r="P77" i="1"/>
  <c r="K77" i="1"/>
  <c r="H77" i="1"/>
  <c r="V76" i="1"/>
  <c r="W76" i="1" s="1"/>
  <c r="K76" i="1"/>
  <c r="H76" i="1"/>
  <c r="V75" i="1"/>
  <c r="W75" i="1" s="1"/>
  <c r="P75" i="1"/>
  <c r="H75" i="1"/>
  <c r="L75" i="1" s="1"/>
  <c r="V74" i="1"/>
  <c r="W74" i="1" s="1"/>
  <c r="H74" i="1"/>
  <c r="L74" i="1" s="1"/>
  <c r="V73" i="1"/>
  <c r="W73" i="1" s="1"/>
  <c r="P73" i="1"/>
  <c r="H73" i="1"/>
  <c r="L73" i="1" s="1"/>
  <c r="V72" i="1"/>
  <c r="W72" i="1" s="1"/>
  <c r="R72" i="1"/>
  <c r="AA72" i="1" s="1"/>
  <c r="L72" i="1"/>
  <c r="V71" i="1"/>
  <c r="W71" i="1" s="1"/>
  <c r="L71" i="1"/>
  <c r="V70" i="1"/>
  <c r="W70" i="1" s="1"/>
  <c r="R70" i="1"/>
  <c r="AA70" i="1" s="1"/>
  <c r="K70" i="1"/>
  <c r="P70" i="1" s="1"/>
  <c r="H70" i="1"/>
  <c r="V69" i="1"/>
  <c r="W69" i="1" s="1"/>
  <c r="R69" i="1"/>
  <c r="AA69" i="1" s="1"/>
  <c r="K69" i="1"/>
  <c r="H69" i="1"/>
  <c r="V68" i="1"/>
  <c r="W68" i="1" s="1"/>
  <c r="R68" i="1"/>
  <c r="AA68" i="1" s="1"/>
  <c r="K68" i="1"/>
  <c r="H68" i="1"/>
  <c r="V67" i="1"/>
  <c r="W67" i="1" s="1"/>
  <c r="R67" i="1"/>
  <c r="AA67" i="1" s="1"/>
  <c r="V66" i="1"/>
  <c r="W66" i="1" s="1"/>
  <c r="L66" i="1"/>
  <c r="V65" i="1"/>
  <c r="W65" i="1" s="1"/>
  <c r="R65" i="1"/>
  <c r="AA65" i="1" s="1"/>
  <c r="H65" i="1"/>
  <c r="L65" i="1" s="1"/>
  <c r="W64" i="1"/>
  <c r="V63" i="1"/>
  <c r="W63" i="1" s="1"/>
  <c r="H63" i="1"/>
  <c r="L63" i="1" s="1"/>
  <c r="V62" i="1"/>
  <c r="W62" i="1" s="1"/>
  <c r="K62" i="1"/>
  <c r="H62" i="1"/>
  <c r="V61" i="1"/>
  <c r="W61" i="1" s="1"/>
  <c r="H61" i="1"/>
  <c r="L61" i="1" s="1"/>
  <c r="V60" i="1"/>
  <c r="W60" i="1" s="1"/>
  <c r="L60" i="1"/>
  <c r="V59" i="1"/>
  <c r="W59" i="1" s="1"/>
  <c r="H59" i="1"/>
  <c r="L59" i="1" s="1"/>
  <c r="V58" i="1"/>
  <c r="W58" i="1" s="1"/>
  <c r="L58" i="1"/>
  <c r="V57" i="1"/>
  <c r="W57" i="1" s="1"/>
  <c r="H57" i="1"/>
  <c r="L57" i="1" s="1"/>
  <c r="V56" i="1"/>
  <c r="W56" i="1" s="1"/>
  <c r="K56" i="1"/>
  <c r="H56" i="1"/>
  <c r="V55" i="1"/>
  <c r="W55" i="1" s="1"/>
  <c r="P55" i="1"/>
  <c r="H55" i="1"/>
  <c r="L55" i="1" s="1"/>
  <c r="V54" i="1"/>
  <c r="W54" i="1" s="1"/>
  <c r="P54" i="1"/>
  <c r="L54" i="1"/>
  <c r="V53" i="1"/>
  <c r="W53" i="1" s="1"/>
  <c r="P53" i="1"/>
  <c r="K53" i="1"/>
  <c r="H53" i="1"/>
  <c r="V52" i="1"/>
  <c r="W52" i="1" s="1"/>
  <c r="P52" i="1"/>
  <c r="K52" i="1"/>
  <c r="H52" i="1"/>
  <c r="V51" i="1"/>
  <c r="W51" i="1" s="1"/>
  <c r="R51" i="1"/>
  <c r="AA51" i="1" s="1"/>
  <c r="H51" i="1"/>
  <c r="L51" i="1" s="1"/>
  <c r="V50" i="1"/>
  <c r="W50" i="1" s="1"/>
  <c r="R50" i="1"/>
  <c r="AA50" i="1" s="1"/>
  <c r="P50" i="1"/>
  <c r="K50" i="1"/>
  <c r="H50" i="1"/>
  <c r="V49" i="1"/>
  <c r="W49" i="1" s="1"/>
  <c r="V48" i="1"/>
  <c r="W48" i="1" s="1"/>
  <c r="R48" i="1"/>
  <c r="AA48" i="1" s="1"/>
  <c r="K48" i="1"/>
  <c r="H48" i="1"/>
  <c r="V47" i="1"/>
  <c r="W47" i="1" s="1"/>
  <c r="K47" i="1"/>
  <c r="L47" i="1" s="1"/>
  <c r="V46" i="1"/>
  <c r="W46" i="1" s="1"/>
  <c r="P46" i="1"/>
  <c r="L46" i="1"/>
  <c r="V45" i="1"/>
  <c r="K45" i="1"/>
  <c r="V44" i="1"/>
  <c r="Y42" i="1"/>
  <c r="U42" i="1"/>
  <c r="U122" i="1" s="1"/>
  <c r="O42" i="1"/>
  <c r="O122" i="1" s="1"/>
  <c r="J42" i="1"/>
  <c r="I42" i="1"/>
  <c r="I122" i="1" s="1"/>
  <c r="G42" i="1"/>
  <c r="G122" i="1" s="1"/>
  <c r="F42" i="1"/>
  <c r="F122" i="1" s="1"/>
  <c r="D42" i="1"/>
  <c r="D122" i="1" s="1"/>
  <c r="C42" i="1"/>
  <c r="C122" i="1" s="1"/>
  <c r="V41" i="1"/>
  <c r="W41" i="1" s="1"/>
  <c r="K41" i="1"/>
  <c r="L41" i="1" s="1"/>
  <c r="E41" i="1"/>
  <c r="E42" i="1" s="1"/>
  <c r="E122" i="1" s="1"/>
  <c r="V40" i="1"/>
  <c r="W40" i="1" s="1"/>
  <c r="R40" i="1"/>
  <c r="AA40" i="1" s="1"/>
  <c r="P40" i="1"/>
  <c r="K40" i="1"/>
  <c r="H40" i="1"/>
  <c r="V39" i="1"/>
  <c r="W39" i="1" s="1"/>
  <c r="R39" i="1"/>
  <c r="AA39" i="1" s="1"/>
  <c r="K39" i="1"/>
  <c r="H39" i="1"/>
  <c r="V38" i="1"/>
  <c r="W38" i="1" s="1"/>
  <c r="Q38" i="1"/>
  <c r="Q42" i="1" s="1"/>
  <c r="K38" i="1"/>
  <c r="L38" i="1" s="1"/>
  <c r="V37" i="1"/>
  <c r="W37" i="1" s="1"/>
  <c r="K37" i="1"/>
  <c r="H37" i="1"/>
  <c r="V36" i="1"/>
  <c r="W36" i="1" s="1"/>
  <c r="L36" i="1"/>
  <c r="W35" i="1"/>
  <c r="V34" i="1"/>
  <c r="W34" i="1" s="1"/>
  <c r="R34" i="1"/>
  <c r="AA34" i="1" s="1"/>
  <c r="K34" i="1"/>
  <c r="H34" i="1"/>
  <c r="V30" i="1"/>
  <c r="W30" i="1" s="1"/>
  <c r="R30" i="1"/>
  <c r="AA30" i="1" s="1"/>
  <c r="K30" i="1"/>
  <c r="H30" i="1"/>
  <c r="W31" i="1"/>
  <c r="R31" i="1"/>
  <c r="AA31" i="1" s="1"/>
  <c r="V28" i="1"/>
  <c r="W28" i="1" s="1"/>
  <c r="P28" i="1"/>
  <c r="K28" i="1"/>
  <c r="H28" i="1"/>
  <c r="V27" i="1"/>
  <c r="W27" i="1" s="1"/>
  <c r="K27" i="1"/>
  <c r="H27" i="1"/>
  <c r="V26" i="1"/>
  <c r="W26" i="1" s="1"/>
  <c r="H26" i="1"/>
  <c r="L26" i="1" s="1"/>
  <c r="V25" i="1"/>
  <c r="W25" i="1" s="1"/>
  <c r="W24" i="1"/>
  <c r="R24" i="1"/>
  <c r="AA24" i="1" s="1"/>
  <c r="V23" i="1"/>
  <c r="W23" i="1" s="1"/>
  <c r="R23" i="1"/>
  <c r="AA23" i="1" s="1"/>
  <c r="K23" i="1"/>
  <c r="H23" i="1"/>
  <c r="V22" i="1"/>
  <c r="W22" i="1" s="1"/>
  <c r="L22" i="1"/>
  <c r="V21" i="1"/>
  <c r="W21" i="1" s="1"/>
  <c r="L21" i="1"/>
  <c r="V20" i="1"/>
  <c r="W20" i="1" s="1"/>
  <c r="R20" i="1"/>
  <c r="AA20" i="1" s="1"/>
  <c r="K20" i="1"/>
  <c r="P20" i="1" s="1"/>
  <c r="V19" i="1"/>
  <c r="W19" i="1" s="1"/>
  <c r="K19" i="1"/>
  <c r="L19" i="1" s="1"/>
  <c r="W18" i="1"/>
  <c r="V15" i="1"/>
  <c r="W15" i="1" s="1"/>
  <c r="K15" i="1"/>
  <c r="H15" i="1"/>
  <c r="V14" i="1"/>
  <c r="W14" i="1" s="1"/>
  <c r="K14" i="1"/>
  <c r="L14" i="1" s="1"/>
  <c r="V13" i="1"/>
  <c r="W13" i="1" s="1"/>
  <c r="K13" i="1"/>
  <c r="L13" i="1" s="1"/>
  <c r="W12" i="1"/>
  <c r="R12" i="1"/>
  <c r="AA12" i="1" s="1"/>
  <c r="V11" i="1"/>
  <c r="W11" i="1" s="1"/>
  <c r="K11" i="1"/>
  <c r="L11" i="1" s="1"/>
  <c r="V10" i="1"/>
  <c r="W10" i="1" s="1"/>
  <c r="H10" i="1"/>
  <c r="L10" i="1" s="1"/>
  <c r="V9" i="1"/>
  <c r="W9" i="1" s="1"/>
  <c r="K9" i="1"/>
  <c r="H9" i="1"/>
  <c r="V8" i="1"/>
  <c r="W8" i="1" s="1"/>
  <c r="K8" i="1"/>
  <c r="L8" i="1" s="1"/>
  <c r="V7" i="1"/>
  <c r="W7" i="1" s="1"/>
  <c r="K7" i="1"/>
  <c r="L7" i="1" s="1"/>
  <c r="V6" i="1"/>
  <c r="W6" i="1" s="1"/>
  <c r="H6" i="1"/>
  <c r="L6" i="1" s="1"/>
  <c r="V5" i="1"/>
  <c r="W5" i="1" s="1"/>
  <c r="L5" i="1"/>
  <c r="AC42" i="1"/>
  <c r="V4" i="1"/>
  <c r="W4" i="1" s="1"/>
  <c r="P4" i="1"/>
  <c r="H4" i="1"/>
  <c r="K4" i="1" s="1"/>
  <c r="Y120" i="1" l="1"/>
  <c r="Y122" i="1" s="1"/>
  <c r="J122" i="1"/>
  <c r="AA42" i="1"/>
  <c r="AA120" i="1"/>
  <c r="H120" i="1"/>
  <c r="R120" i="1"/>
  <c r="P45" i="1"/>
  <c r="K120" i="1"/>
  <c r="Q122" i="1"/>
  <c r="W45" i="1"/>
  <c r="W120" i="1" s="1"/>
  <c r="V120" i="1"/>
  <c r="AC85" i="1"/>
  <c r="AC120" i="1" s="1"/>
  <c r="AC122" i="1" s="1"/>
  <c r="L98" i="1"/>
  <c r="L82" i="1"/>
  <c r="L50" i="1"/>
  <c r="L52" i="1"/>
  <c r="L56" i="1"/>
  <c r="L109" i="1"/>
  <c r="L80" i="1"/>
  <c r="P114" i="1"/>
  <c r="L103" i="1"/>
  <c r="L114" i="1"/>
  <c r="L15" i="1"/>
  <c r="P42" i="1"/>
  <c r="L48" i="1"/>
  <c r="L53" i="1"/>
  <c r="L70" i="1"/>
  <c r="L40" i="1"/>
  <c r="L77" i="1"/>
  <c r="L99" i="1"/>
  <c r="L69" i="1"/>
  <c r="L28" i="1"/>
  <c r="L37" i="1"/>
  <c r="L39" i="1"/>
  <c r="L76" i="1"/>
  <c r="L93" i="1"/>
  <c r="L112" i="1"/>
  <c r="L9" i="1"/>
  <c r="L94" i="1"/>
  <c r="L23" i="1"/>
  <c r="L62" i="1"/>
  <c r="P69" i="1"/>
  <c r="L116" i="1"/>
  <c r="L34" i="1"/>
  <c r="L101" i="1"/>
  <c r="L30" i="1"/>
  <c r="P82" i="1"/>
  <c r="L95" i="1"/>
  <c r="L102" i="1"/>
  <c r="L117" i="1"/>
  <c r="L68" i="1"/>
  <c r="R42" i="1"/>
  <c r="L27" i="1"/>
  <c r="L4" i="1"/>
  <c r="K42" i="1"/>
  <c r="L20" i="1"/>
  <c r="H42" i="1"/>
  <c r="L45" i="1"/>
  <c r="L90" i="1"/>
  <c r="V42" i="1"/>
  <c r="K122" i="1" l="1"/>
  <c r="AA122" i="1"/>
  <c r="P120" i="1"/>
  <c r="P122" i="1" s="1"/>
  <c r="V122" i="1"/>
  <c r="L120" i="1"/>
  <c r="H122" i="1"/>
  <c r="R122" i="1"/>
  <c r="L42" i="1"/>
  <c r="W42" i="1"/>
  <c r="W122" i="1" s="1"/>
  <c r="L122" i="1" l="1"/>
</calcChain>
</file>

<file path=xl/sharedStrings.xml><?xml version="1.0" encoding="utf-8"?>
<sst xmlns="http://schemas.openxmlformats.org/spreadsheetml/2006/main" count="418" uniqueCount="244">
  <si>
    <t>REAL PROPERTY TAXES</t>
  </si>
  <si>
    <t>GENERAL FUND.PRIOR REAL PROPERTY TAXES</t>
  </si>
  <si>
    <t>INTEREST &amp; PENALTIES</t>
  </si>
  <si>
    <t>SALES &amp; USE TAX-NASSAU CITY</t>
  </si>
  <si>
    <t>UTILITY GROSS RECEIPT TAX</t>
  </si>
  <si>
    <t>CABLE FRANCHISE FEE</t>
  </si>
  <si>
    <t>FILING FEES</t>
  </si>
  <si>
    <t>GENERAL FUND.EMPLOYEE HEALTH CONTRA</t>
  </si>
  <si>
    <t>ZONING FEES</t>
  </si>
  <si>
    <t>MONEY MARKET INTEREST AND EARNINGS</t>
  </si>
  <si>
    <t>VENDOR PERMITS</t>
  </si>
  <si>
    <t>BUILDING AND ALTERATION PERMITS</t>
  </si>
  <si>
    <t>STREET OPENING PERMITS</t>
  </si>
  <si>
    <t>GENERAL FUND.STREET OPENING DEPOSITS</t>
  </si>
  <si>
    <t>MISCELLANEOUS PERMITS</t>
  </si>
  <si>
    <t>JUSTICE COURT FUND</t>
  </si>
  <si>
    <t>GENERAL FUND.GIFTS AND DONATIONS</t>
  </si>
  <si>
    <t>UNCLASSIFIED REVENUE</t>
  </si>
  <si>
    <t>NYS REVENUE SHARING</t>
  </si>
  <si>
    <t>MORTGAGE TAX</t>
  </si>
  <si>
    <t>GRANTS</t>
  </si>
  <si>
    <t>CHIPS (HWY. AID)</t>
  </si>
  <si>
    <t>JUDGE PERSONAL SERVICES</t>
  </si>
  <si>
    <t>LEGAL SUPPLIES</t>
  </si>
  <si>
    <t>COURT PRINTING</t>
  </si>
  <si>
    <t>ACTING JUSTICE</t>
  </si>
  <si>
    <t>POSTAGE &amp; MISC.</t>
  </si>
  <si>
    <t>JUDGE/COURT CLERK MEETINGS</t>
  </si>
  <si>
    <t>AUDITOR</t>
  </si>
  <si>
    <t>VILLAGE CLERK/TREASURER</t>
  </si>
  <si>
    <t>DEPUTY/COURT &amp; BLDING</t>
  </si>
  <si>
    <t>OFFICE SUPPLIES</t>
  </si>
  <si>
    <t>LEGAL NOTICES</t>
  </si>
  <si>
    <t>PRINTING</t>
  </si>
  <si>
    <t>CONTRACTED SERVICES (PBI, PHONES)</t>
  </si>
  <si>
    <t>POSTAGE VILLAGE &amp; COURT</t>
  </si>
  <si>
    <t>ASSESSMENT ROLL</t>
  </si>
  <si>
    <t>ATTORNEY - CONTRACTUAL</t>
  </si>
  <si>
    <t>PERSONNEL</t>
  </si>
  <si>
    <t>ENGINEER</t>
  </si>
  <si>
    <t>ELECTION LEGAL</t>
  </si>
  <si>
    <t>ELECTION EQUIPMENT</t>
  </si>
  <si>
    <t>ELECTION INSPECTORS</t>
  </si>
  <si>
    <t>IMPROVEMENTS</t>
  </si>
  <si>
    <t>OFFICE EQUIPMENT</t>
  </si>
  <si>
    <t>SUPPLIES WATER &amp; SANITARY</t>
  </si>
  <si>
    <t>VILLAGE HALL UTILITIES</t>
  </si>
  <si>
    <t>CONTRACT ALARM/PESTS/COPIER</t>
  </si>
  <si>
    <t>MUNICIPAL INS/UMBRELLA</t>
  </si>
  <si>
    <t>DUES PWOEM,LI,NC,MAN</t>
  </si>
  <si>
    <t>PROPERTY TAX REFUNDS</t>
  </si>
  <si>
    <t>CONTINGENCY</t>
  </si>
  <si>
    <t>TRAFFIC &amp; STREET SIGN SUPPLIES</t>
  </si>
  <si>
    <t>SIGN PRINTER</t>
  </si>
  <si>
    <t>BUILDING INSPECTOR PERSONNEL SERVICES</t>
  </si>
  <si>
    <t>BUILDING CONTRACTED SERVICES</t>
  </si>
  <si>
    <t>STREET CREW PERSONNEL SERVICES</t>
  </si>
  <si>
    <t>STREET CREW - OVERTIME</t>
  </si>
  <si>
    <t>STREET EQUIPMENT</t>
  </si>
  <si>
    <t>STREET SUPPLIES</t>
  </si>
  <si>
    <t>GASOLINE</t>
  </si>
  <si>
    <t>TRUCK/EQUIPMENT REPAIRS</t>
  </si>
  <si>
    <t>CHIPS</t>
  </si>
  <si>
    <t>SAND &amp; SALT</t>
  </si>
  <si>
    <t>SUPPLIES</t>
  </si>
  <si>
    <t>PARKS &amp; GROUNDS SUPPLIES</t>
  </si>
  <si>
    <t>P.I. SERVICES - WATER/ELECTRIC</t>
  </si>
  <si>
    <t>BOARD OF APPEALS</t>
  </si>
  <si>
    <t>STORMWATER CONTRACTUAL</t>
  </si>
  <si>
    <t>MEADOW CARTING</t>
  </si>
  <si>
    <t>MISC. FEES</t>
  </si>
  <si>
    <t>STREET SWEEPING SERVICES</t>
  </si>
  <si>
    <t>TREES CONTRACTED SERVICES</t>
  </si>
  <si>
    <t>NYS RETIREMENT</t>
  </si>
  <si>
    <t>SOCIAL SECURITY/MEDICARE</t>
  </si>
  <si>
    <t>WORKERS COMP</t>
  </si>
  <si>
    <t>UNEMPLOYEMENT INS.</t>
  </si>
  <si>
    <t>DISABILITY INSURANCE</t>
  </si>
  <si>
    <t>HEALTH INSURANCE</t>
  </si>
  <si>
    <t>MCTMT TAX</t>
  </si>
  <si>
    <t>SERIAL BONDS PRINCIPAL</t>
  </si>
  <si>
    <t>INTEREST</t>
  </si>
  <si>
    <t>TOTAL REVENUE</t>
  </si>
  <si>
    <t>TOTAL EXPENSE</t>
  </si>
  <si>
    <t>GENERAL FUND SALES OF EQUIPMENT</t>
  </si>
  <si>
    <t>COPLEY POND GRANTS/CONTRIBUTIONS</t>
  </si>
  <si>
    <t>VILLAGE TREES - PLANTING</t>
  </si>
  <si>
    <t>GENERAL FUND TREE DEPOSITS</t>
  </si>
  <si>
    <t>CONTRACTUAL EXPENSE - PROSECUTOR</t>
  </si>
  <si>
    <t>PLANNING BOARD FEES</t>
  </si>
  <si>
    <t>PROPOSED BUDGET 2017</t>
  </si>
  <si>
    <t>2016 YTD</t>
  </si>
  <si>
    <t>2016 Projection</t>
  </si>
  <si>
    <t>B</t>
  </si>
  <si>
    <t>STREET LIGHTING CONTRACTED</t>
  </si>
  <si>
    <t>2017 B/(W) 2016</t>
  </si>
  <si>
    <t>2017 9 mos.</t>
  </si>
  <si>
    <t>2017 Projected</t>
  </si>
  <si>
    <t>TREE PERMITS</t>
  </si>
  <si>
    <t>PUBLIC SAFETY GUARD</t>
  </si>
  <si>
    <t>PARKS AND GROUNDS REVITALIZATION</t>
  </si>
  <si>
    <t>ROADS</t>
  </si>
  <si>
    <t>TIPPING FEES/YARD WASTE</t>
  </si>
  <si>
    <t>CLERK-TREASURER FEES - (Copies)</t>
  </si>
  <si>
    <t>Acct #</t>
  </si>
  <si>
    <t>Reclass</t>
  </si>
  <si>
    <t>ARCHITECT</t>
  </si>
  <si>
    <t>Account Description</t>
  </si>
  <si>
    <t>ACCOUNTANT</t>
  </si>
  <si>
    <t>May 31, 2016</t>
  </si>
  <si>
    <t>May 31, 2015</t>
  </si>
  <si>
    <t>May 31, 2014</t>
  </si>
  <si>
    <t>May 31, 2013</t>
  </si>
  <si>
    <t>May 31, 2012</t>
  </si>
  <si>
    <t>LEGAL - OTHER</t>
  </si>
  <si>
    <t>BUILDING DEPARTMENT SCANNING</t>
  </si>
  <si>
    <t>STREET OPENING REFUNDS</t>
  </si>
  <si>
    <t>GENERAL FUND INSURANCE RECOVERIES</t>
  </si>
  <si>
    <t>CESSPOOL PERMITS</t>
  </si>
  <si>
    <t>ARCHITECTS REVIEW FEES</t>
  </si>
  <si>
    <t>AIR CONDITIONER/SPRINKLER PERMITS</t>
  </si>
  <si>
    <t>INSURANCE AND MISC REFUNDS</t>
  </si>
  <si>
    <t>Annualized May 31, 2019</t>
  </si>
  <si>
    <t>Actual as of 1/31/2019</t>
  </si>
  <si>
    <t>Actual Revenues and Expenditures</t>
  </si>
  <si>
    <t>Adjusted May 31, 2020 Proposed Budget</t>
  </si>
  <si>
    <t>Adopted May 31, 2020 Budget</t>
  </si>
  <si>
    <t>May 31, 2020  Budget</t>
  </si>
  <si>
    <t>May 31, 2019  Budget</t>
  </si>
  <si>
    <t>May 31, 2018  Budget</t>
  </si>
  <si>
    <t>May 31, 2019 Actual</t>
  </si>
  <si>
    <t>May 31, 2021  Budget</t>
  </si>
  <si>
    <t>May 31, 2017
Actual</t>
  </si>
  <si>
    <t>May 31, 2017
Budget</t>
  </si>
  <si>
    <t>Net Income (Loss)</t>
  </si>
  <si>
    <t>May 31, 2022 Budget</t>
  </si>
  <si>
    <t>May 31, 2018
Actual</t>
  </si>
  <si>
    <t>May 31, 2020
Actual</t>
  </si>
  <si>
    <t>COMPUTER SERVICES KVS and BEACON</t>
  </si>
  <si>
    <t>PSEG &amp; STREET LIGHTING</t>
  </si>
  <si>
    <t>20-21 anticipating higher revenues from permits</t>
  </si>
  <si>
    <t>2 - 3% increase per Antonio</t>
  </si>
  <si>
    <t>Contract ends May 2022. $498,480 for 21-22</t>
  </si>
  <si>
    <t>debt service payments end in 20-21.</t>
  </si>
  <si>
    <t>GENERAL FUND PLANNING BOARD FEES</t>
  </si>
  <si>
    <t>GENERAL FUND CESSPOOL PERMITS</t>
  </si>
  <si>
    <t>SALES, CODE BOOKS, RECYCLABLE PAILS</t>
  </si>
  <si>
    <t>OTHER COMPENSATION FOR LOSS</t>
  </si>
  <si>
    <t>PROSECUTOR</t>
  </si>
  <si>
    <t>JUDGE/COURT MEETINGS</t>
  </si>
  <si>
    <t>VILLAGE ARCHITECT</t>
  </si>
  <si>
    <t>CONTRACT ALARM/COPIER/OFFICE CLEANING</t>
  </si>
  <si>
    <t>COMPUTER SERVICES KVS</t>
  </si>
  <si>
    <t>Building Department Scanning</t>
  </si>
  <si>
    <t>YARD WASTE/ROADS/ASPHALT</t>
  </si>
  <si>
    <t>LIPA &amp; STREET LIGHTING</t>
  </si>
  <si>
    <t>PARKS/GROUNDS REVITALIZATION</t>
  </si>
  <si>
    <t>VILLAGE TREES PRUNING/REMOVAL</t>
  </si>
  <si>
    <t>1110.0101</t>
  </si>
  <si>
    <t>1110.0400</t>
  </si>
  <si>
    <t>1110.0410</t>
  </si>
  <si>
    <t>1110.0440</t>
  </si>
  <si>
    <t>1110.0450</t>
  </si>
  <si>
    <t>1110.0451</t>
  </si>
  <si>
    <t>1110.0470</t>
  </si>
  <si>
    <t>1320.0450</t>
  </si>
  <si>
    <t>1325.0101</t>
  </si>
  <si>
    <t>1325.0102</t>
  </si>
  <si>
    <t>1325.0410</t>
  </si>
  <si>
    <t>1325.0441</t>
  </si>
  <si>
    <t>1325.0442</t>
  </si>
  <si>
    <t>1325.0450</t>
  </si>
  <si>
    <t>1325.0451</t>
  </si>
  <si>
    <t>1325.0460</t>
  </si>
  <si>
    <t>1355.0400</t>
  </si>
  <si>
    <t>1420.0451</t>
  </si>
  <si>
    <t>1440.0400</t>
  </si>
  <si>
    <t>1441.0400</t>
  </si>
  <si>
    <t>1450.0440</t>
  </si>
  <si>
    <t>1450.0450</t>
  </si>
  <si>
    <t>1620.0410</t>
  </si>
  <si>
    <t>1620.0420</t>
  </si>
  <si>
    <t>1620.0440</t>
  </si>
  <si>
    <t>1620.0450</t>
  </si>
  <si>
    <t>1910.0400</t>
  </si>
  <si>
    <t>1920.0400</t>
  </si>
  <si>
    <t>1990.0400</t>
  </si>
  <si>
    <t>3310.0440</t>
  </si>
  <si>
    <t>3620.0100</t>
  </si>
  <si>
    <t>3620.0440</t>
  </si>
  <si>
    <t>3620.0450</t>
  </si>
  <si>
    <t>5110.0100</t>
  </si>
  <si>
    <t>5110.0101</t>
  </si>
  <si>
    <t>5110.0200</t>
  </si>
  <si>
    <t>5110.0410</t>
  </si>
  <si>
    <t>5110.0411</t>
  </si>
  <si>
    <t>5110.0412</t>
  </si>
  <si>
    <t>5110.0440</t>
  </si>
  <si>
    <t>5142.0410</t>
  </si>
  <si>
    <t>5182.0441</t>
  </si>
  <si>
    <t>5182.0442</t>
  </si>
  <si>
    <t>7110.0200</t>
  </si>
  <si>
    <t>7110.0410</t>
  </si>
  <si>
    <t>7110.0440</t>
  </si>
  <si>
    <t>8010.0400</t>
  </si>
  <si>
    <t>8140.0400</t>
  </si>
  <si>
    <t>8160.0400</t>
  </si>
  <si>
    <t>8160.0442</t>
  </si>
  <si>
    <t>8560.0400</t>
  </si>
  <si>
    <t>9010.0800</t>
  </si>
  <si>
    <t>9030.0800</t>
  </si>
  <si>
    <t>9040.0800</t>
  </si>
  <si>
    <t>9050.0800</t>
  </si>
  <si>
    <t>9055.0800</t>
  </si>
  <si>
    <t>9060.0800</t>
  </si>
  <si>
    <t>9065.0800</t>
  </si>
  <si>
    <t>9710.0600</t>
  </si>
  <si>
    <t>9710.0700</t>
  </si>
  <si>
    <t>Account Code</t>
  </si>
  <si>
    <t>Description</t>
  </si>
  <si>
    <t>Expense</t>
  </si>
  <si>
    <t>Salaries increased by 3%, used 7.65% of total budgeted salaries</t>
  </si>
  <si>
    <t>REFUND OF PRIOR YEAR EXPENSES</t>
  </si>
  <si>
    <t>Budget Change</t>
  </si>
  <si>
    <t>$31,136 increase, or 2.32%, from 2020-21 levy.</t>
  </si>
  <si>
    <t>One new truck</t>
  </si>
  <si>
    <t>Budget Notes</t>
  </si>
  <si>
    <t>Debt matures in 20/21</t>
  </si>
  <si>
    <t>Based on contractual increase</t>
  </si>
  <si>
    <t>see permits</t>
  </si>
  <si>
    <t>DUES LI,NC,MAN</t>
  </si>
  <si>
    <t>May 31, 2021 Actual</t>
  </si>
  <si>
    <t>Dec. 31, 2021 YTD</t>
  </si>
  <si>
    <t>EMERGENCY DISASTER ASSISTANCE STATE</t>
  </si>
  <si>
    <t>FEMA</t>
  </si>
  <si>
    <t>Forecast May 31, 2022</t>
  </si>
  <si>
    <t>2% increase</t>
  </si>
  <si>
    <t>What is in here?</t>
  </si>
  <si>
    <t>Special Projects Fund - Road work and infrastructure</t>
  </si>
  <si>
    <t>5% increase</t>
  </si>
  <si>
    <t>6% increase</t>
  </si>
  <si>
    <t>trucks in 2022 budget</t>
  </si>
  <si>
    <t>Can we break out what  is in the 138,409 for the period 12/31/2021 to understand if anything is non-recurring</t>
  </si>
  <si>
    <t xml:space="preserve"> May 31, 2023 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</si>
</sst>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_(&quot;$&quot;* #,##0_);_(&quot;$&quot;* \(#,##0\);_(&quot;$&quot;* &quot;-&quot;??_);_(@_)"/>
    <numFmt numFmtId="167" formatCode="0.0000"/>
    <numFmt numFmtId="168" formatCode="_(* #,##0.00_);_(* \(#,##0.00\);_(* 0.00_);_(@_)"/>
  </numFmts>
  <fonts count="2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Book Antiqua"/>
      <family val="1"/>
    </font>
    <font>
      <sz val="11"/>
      <color theme="9"/>
      <name val="Book Antiqua"/>
      <family val="1"/>
    </font>
    <font>
      <sz val="11"/>
      <color theme="1"/>
      <name val="Calibri"/>
      <family val="2"/>
      <scheme val="minor"/>
    </font>
    <font>
      <sz val="11"/>
      <name val="Book Antiqua"/>
      <family val="1"/>
    </font>
    <font>
      <u val="singleAccounting"/>
      <sz val="11"/>
      <color rgb="FF000000"/>
      <name val="Calibri"/>
      <family val="2"/>
    </font>
    <font>
      <sz val="8"/>
      <color theme="9"/>
      <name val="Book Antiqua"/>
      <family val="1"/>
    </font>
    <font>
      <sz val="8"/>
      <color theme="1"/>
      <name val="Book Antiqua"/>
      <family val="1"/>
    </font>
  </fonts>
  <fills count="35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-0.49995422223578601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5422223578601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 style="thin">
        <color theme="9" tint="-0.24994659260841701"/>
      </top>
      <bottom style="medium">
        <color auto="1"/>
      </bottom>
      <diagonal/>
    </border>
    <border>
      <left/>
      <right/>
      <top/>
      <bottom style="thin">
        <color theme="9" tint="-0.24994659260841701"/>
      </bottom>
      <diagonal/>
    </border>
    <border>
      <left/>
      <right/>
      <top/>
      <bottom style="thin">
        <color theme="9"/>
      </bottom>
      <diagonal/>
    </border>
  </borders>
  <cellStyleXfs count="47">
    <xf numFmtId="0" fontId="0" fillId="0" borderId="0"/>
    <xf numFmtId="9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2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16">
    <xf numFmtId="0" fontId="0" fillId="0" borderId="0" xfId="0"/>
    <xf numFmtId="0" fontId="18" fillId="0" borderId="0" xfId="0" applyFont="1" applyAlignment="1">
      <alignment horizontal="center"/>
    </xf>
    <xf numFmtId="0" fontId="18" fillId="0" borderId="0" xfId="0" applyFont="1"/>
    <xf numFmtId="164" fontId="18" fillId="0" borderId="0" xfId="4" applyNumberFormat="1" applyFont="1" applyAlignment="1">
      <alignment horizontal="right"/>
    </xf>
    <xf numFmtId="165" fontId="18" fillId="0" borderId="0" xfId="0" applyNumberFormat="1" applyFont="1"/>
    <xf numFmtId="164" fontId="18" fillId="33" borderId="0" xfId="4" applyNumberFormat="1" applyFont="1" applyFill="1"/>
    <xf numFmtId="164" fontId="18" fillId="0" borderId="0" xfId="4" applyNumberFormat="1" applyFont="1" applyFill="1"/>
    <xf numFmtId="43" fontId="18" fillId="0" borderId="0" xfId="4" applyFont="1" applyFill="1"/>
    <xf numFmtId="0" fontId="19" fillId="34" borderId="10" xfId="0" applyFont="1" applyFill="1" applyBorder="1" applyAlignment="1">
      <alignment horizontal="center" wrapText="1"/>
    </xf>
    <xf numFmtId="164" fontId="19" fillId="34" borderId="10" xfId="4" applyNumberFormat="1" applyFont="1" applyFill="1" applyBorder="1" applyAlignment="1">
      <alignment wrapText="1"/>
    </xf>
    <xf numFmtId="164" fontId="19" fillId="34" borderId="10" xfId="4" applyNumberFormat="1" applyFont="1" applyFill="1" applyBorder="1" applyAlignment="1">
      <alignment horizontal="center" wrapText="1"/>
    </xf>
    <xf numFmtId="164" fontId="19" fillId="34" borderId="10" xfId="31" applyNumberFormat="1" applyFont="1" applyFill="1" applyBorder="1" applyAlignment="1">
      <alignment horizontal="center" wrapText="1"/>
    </xf>
    <xf numFmtId="0" fontId="18" fillId="0" borderId="0" xfId="0" applyFont="1" applyAlignment="1">
      <alignment wrapText="1"/>
    </xf>
    <xf numFmtId="3" fontId="18" fillId="0" borderId="0" xfId="0" applyNumberFormat="1" applyFont="1"/>
    <xf numFmtId="164" fontId="18" fillId="0" borderId="0" xfId="4" applyNumberFormat="1" applyFont="1"/>
    <xf numFmtId="164" fontId="18" fillId="0" borderId="0" xfId="4" applyNumberFormat="1" applyFont="1" applyAlignment="1">
      <alignment horizontal="center"/>
    </xf>
    <xf numFmtId="164" fontId="18" fillId="0" borderId="0" xfId="4" applyNumberFormat="1" applyFont="1" applyAlignment="1">
      <alignment wrapText="1"/>
    </xf>
    <xf numFmtId="166" fontId="18" fillId="0" borderId="0" xfId="2" applyNumberFormat="1" applyFont="1" applyAlignment="1">
      <alignment horizontal="right"/>
    </xf>
    <xf numFmtId="166" fontId="18" fillId="0" borderId="0" xfId="2" applyNumberFormat="1" applyFont="1"/>
    <xf numFmtId="166" fontId="18" fillId="33" borderId="0" xfId="2" applyNumberFormat="1" applyFont="1" applyFill="1"/>
    <xf numFmtId="166" fontId="18" fillId="0" borderId="0" xfId="2" applyNumberFormat="1" applyFont="1" applyFill="1"/>
    <xf numFmtId="166" fontId="18" fillId="0" borderId="11" xfId="2" applyNumberFormat="1" applyFont="1" applyBorder="1" applyAlignment="1">
      <alignment horizontal="right"/>
    </xf>
    <xf numFmtId="166" fontId="18" fillId="33" borderId="11" xfId="2" applyNumberFormat="1" applyFont="1" applyFill="1" applyBorder="1" applyAlignment="1">
      <alignment horizontal="right"/>
    </xf>
    <xf numFmtId="166" fontId="18" fillId="0" borderId="11" xfId="2" applyNumberFormat="1" applyFont="1" applyFill="1" applyBorder="1" applyAlignment="1">
      <alignment horizontal="right"/>
    </xf>
    <xf numFmtId="166" fontId="18" fillId="0" borderId="11" xfId="2" applyNumberFormat="1" applyFont="1" applyFill="1" applyBorder="1"/>
    <xf numFmtId="167" fontId="18" fillId="0" borderId="0" xfId="0" applyNumberFormat="1" applyFont="1" applyAlignment="1">
      <alignment horizontal="center"/>
    </xf>
    <xf numFmtId="167" fontId="18" fillId="0" borderId="0" xfId="0" applyNumberFormat="1" applyFont="1" applyFill="1" applyAlignment="1">
      <alignment horizontal="center"/>
    </xf>
    <xf numFmtId="0" fontId="18" fillId="0" borderId="0" xfId="0" applyFont="1" applyFill="1"/>
    <xf numFmtId="164" fontId="18" fillId="0" borderId="0" xfId="4" applyNumberFormat="1" applyFont="1" applyFill="1" applyAlignment="1">
      <alignment horizontal="right"/>
    </xf>
    <xf numFmtId="164" fontId="18" fillId="0" borderId="12" xfId="4" applyNumberFormat="1" applyFont="1" applyBorder="1"/>
    <xf numFmtId="164" fontId="18" fillId="33" borderId="12" xfId="4" applyNumberFormat="1" applyFont="1" applyFill="1" applyBorder="1"/>
    <xf numFmtId="164" fontId="18" fillId="0" borderId="12" xfId="4" applyNumberFormat="1" applyFont="1" applyFill="1" applyBorder="1"/>
    <xf numFmtId="164" fontId="18" fillId="0" borderId="0" xfId="4" applyNumberFormat="1" applyFont="1" applyBorder="1"/>
    <xf numFmtId="164" fontId="18" fillId="33" borderId="0" xfId="4" applyNumberFormat="1" applyFont="1" applyFill="1" applyBorder="1"/>
    <xf numFmtId="164" fontId="18" fillId="0" borderId="0" xfId="4" applyNumberFormat="1" applyFont="1" applyFill="1" applyBorder="1"/>
    <xf numFmtId="166" fontId="18" fillId="0" borderId="13" xfId="2" applyNumberFormat="1" applyFont="1" applyFill="1" applyBorder="1"/>
    <xf numFmtId="166" fontId="18" fillId="0" borderId="13" xfId="2" applyNumberFormat="1" applyFont="1" applyBorder="1"/>
    <xf numFmtId="164" fontId="19" fillId="34" borderId="10" xfId="4" quotePrefix="1" applyNumberFormat="1" applyFont="1" applyFill="1" applyBorder="1" applyAlignment="1">
      <alignment wrapText="1"/>
    </xf>
    <xf numFmtId="165" fontId="18" fillId="33" borderId="0" xfId="0" applyNumberFormat="1" applyFont="1" applyFill="1"/>
    <xf numFmtId="165" fontId="19" fillId="33" borderId="10" xfId="0" applyNumberFormat="1" applyFont="1" applyFill="1" applyBorder="1" applyAlignment="1">
      <alignment wrapText="1"/>
    </xf>
    <xf numFmtId="166" fontId="18" fillId="33" borderId="11" xfId="2" applyNumberFormat="1" applyFont="1" applyFill="1" applyBorder="1"/>
    <xf numFmtId="166" fontId="18" fillId="33" borderId="13" xfId="2" applyNumberFormat="1" applyFont="1" applyFill="1" applyBorder="1"/>
    <xf numFmtId="164" fontId="19" fillId="33" borderId="10" xfId="0" applyNumberFormat="1" applyFont="1" applyFill="1" applyBorder="1" applyAlignment="1">
      <alignment wrapText="1"/>
    </xf>
    <xf numFmtId="165" fontId="19" fillId="33" borderId="10" xfId="4" applyNumberFormat="1" applyFont="1" applyFill="1" applyBorder="1" applyAlignment="1">
      <alignment wrapText="1"/>
    </xf>
    <xf numFmtId="165" fontId="18" fillId="33" borderId="0" xfId="4" applyNumberFormat="1" applyFont="1" applyFill="1" applyAlignment="1">
      <alignment horizontal="center"/>
    </xf>
    <xf numFmtId="165" fontId="18" fillId="33" borderId="0" xfId="4" applyNumberFormat="1" applyFont="1" applyFill="1"/>
    <xf numFmtId="166" fontId="18" fillId="0" borderId="0" xfId="2" applyNumberFormat="1" applyFont="1" applyAlignment="1">
      <alignment wrapText="1"/>
    </xf>
    <xf numFmtId="164" fontId="18" fillId="0" borderId="0" xfId="4" applyNumberFormat="1" applyFont="1" applyBorder="1" applyAlignment="1">
      <alignment horizontal="right"/>
    </xf>
    <xf numFmtId="165" fontId="18" fillId="0" borderId="0" xfId="0" applyNumberFormat="1" applyFont="1" applyFill="1"/>
    <xf numFmtId="166" fontId="18" fillId="0" borderId="0" xfId="2" applyNumberFormat="1" applyFont="1" applyFill="1" applyBorder="1"/>
    <xf numFmtId="0" fontId="19" fillId="34" borderId="14" xfId="0" applyFont="1" applyFill="1" applyBorder="1" applyAlignment="1">
      <alignment horizontal="center" wrapText="1"/>
    </xf>
    <xf numFmtId="164" fontId="19" fillId="34" borderId="0" xfId="4" quotePrefix="1" applyNumberFormat="1" applyFont="1" applyFill="1" applyBorder="1" applyAlignment="1">
      <alignment wrapText="1"/>
    </xf>
    <xf numFmtId="164" fontId="19" fillId="34" borderId="0" xfId="4" quotePrefix="1" applyNumberFormat="1" applyFont="1" applyFill="1" applyBorder="1" applyAlignment="1">
      <alignment horizontal="center" wrapText="1"/>
    </xf>
    <xf numFmtId="164" fontId="19" fillId="34" borderId="0" xfId="4" applyNumberFormat="1" applyFont="1" applyFill="1" applyBorder="1" applyAlignment="1">
      <alignment horizontal="center" wrapText="1"/>
    </xf>
    <xf numFmtId="166" fontId="18" fillId="0" borderId="0" xfId="2" applyNumberFormat="1" applyFont="1" applyFill="1" applyBorder="1" applyAlignment="1">
      <alignment horizontal="right"/>
    </xf>
    <xf numFmtId="164" fontId="19" fillId="34" borderId="10" xfId="4" quotePrefix="1" applyNumberFormat="1" applyFont="1" applyFill="1" applyBorder="1" applyAlignment="1">
      <alignment horizontal="center" wrapText="1"/>
    </xf>
    <xf numFmtId="166" fontId="18" fillId="29" borderId="0" xfId="2" applyNumberFormat="1" applyFont="1" applyFill="1"/>
    <xf numFmtId="164" fontId="18" fillId="29" borderId="0" xfId="4" applyNumberFormat="1" applyFont="1" applyFill="1"/>
    <xf numFmtId="166" fontId="18" fillId="29" borderId="11" xfId="2" applyNumberFormat="1" applyFont="1" applyFill="1" applyBorder="1"/>
    <xf numFmtId="164" fontId="18" fillId="29" borderId="12" xfId="4" applyNumberFormat="1" applyFont="1" applyFill="1" applyBorder="1"/>
    <xf numFmtId="164" fontId="18" fillId="29" borderId="0" xfId="4" applyNumberFormat="1" applyFont="1" applyFill="1" applyBorder="1"/>
    <xf numFmtId="166" fontId="18" fillId="29" borderId="13" xfId="2" applyNumberFormat="1" applyFont="1" applyFill="1" applyBorder="1"/>
    <xf numFmtId="166" fontId="18" fillId="29" borderId="11" xfId="2" applyNumberFormat="1" applyFont="1" applyFill="1" applyBorder="1" applyAlignment="1">
      <alignment horizontal="right"/>
    </xf>
    <xf numFmtId="43" fontId="18" fillId="29" borderId="0" xfId="4" applyFont="1" applyFill="1"/>
    <xf numFmtId="0" fontId="21" fillId="0" borderId="0" xfId="0" applyFont="1"/>
    <xf numFmtId="0" fontId="18" fillId="0" borderId="0" xfId="0" quotePrefix="1" applyFont="1"/>
    <xf numFmtId="164" fontId="19" fillId="34" borderId="15" xfId="4" quotePrefix="1" applyNumberFormat="1" applyFont="1" applyFill="1" applyBorder="1" applyAlignment="1">
      <alignment horizontal="center" wrapText="1"/>
    </xf>
    <xf numFmtId="164" fontId="19" fillId="34" borderId="16" xfId="4" quotePrefix="1" applyNumberFormat="1" applyFont="1" applyFill="1" applyBorder="1" applyAlignment="1">
      <alignment horizontal="center" wrapText="1"/>
    </xf>
    <xf numFmtId="49" fontId="0" fillId="0" borderId="0" xfId="0" applyNumberFormat="1" applyFill="1" applyAlignment="1" applyProtection="1">
      <alignment horizontal="left"/>
    </xf>
    <xf numFmtId="168" fontId="0" fillId="0" borderId="0" xfId="0" applyNumberFormat="1" applyFill="1" applyAlignment="1" applyProtection="1"/>
    <xf numFmtId="168" fontId="22" fillId="0" borderId="0" xfId="0" applyNumberFormat="1" applyFont="1" applyFill="1" applyAlignment="1" applyProtection="1"/>
    <xf numFmtId="2" fontId="0" fillId="0" borderId="0" xfId="0" applyNumberFormat="1" applyFill="1" applyAlignment="1" applyProtection="1">
      <alignment horizontal="left"/>
    </xf>
    <xf numFmtId="2" fontId="0" fillId="0" borderId="0" xfId="0" applyNumberFormat="1"/>
    <xf numFmtId="44" fontId="18" fillId="0" borderId="0" xfId="0" applyNumberFormat="1" applyFont="1"/>
    <xf numFmtId="164" fontId="19" fillId="34" borderId="16" xfId="4" quotePrefix="1" applyNumberFormat="1" applyFont="1" applyFill="1" applyBorder="1" applyAlignment="1">
      <alignment wrapText="1"/>
    </xf>
    <xf numFmtId="164" fontId="23" fillId="34" borderId="16" xfId="4" quotePrefix="1" applyNumberFormat="1" applyFont="1" applyFill="1" applyBorder="1" applyAlignment="1">
      <alignment wrapText="1"/>
    </xf>
    <xf numFmtId="164" fontId="23" fillId="34" borderId="10" xfId="31" applyNumberFormat="1" applyFont="1" applyFill="1" applyBorder="1" applyAlignment="1">
      <alignment horizontal="center" wrapText="1"/>
    </xf>
    <xf numFmtId="0" fontId="24" fillId="0" borderId="0" xfId="0" applyFont="1"/>
    <xf numFmtId="164" fontId="24" fillId="0" borderId="0" xfId="4" applyNumberFormat="1" applyFont="1"/>
    <xf numFmtId="164" fontId="19" fillId="34" borderId="16" xfId="4" quotePrefix="1" applyNumberFormat="1" applyFont="1" applyFill="1" applyBorder="1" applyAlignment="1">
      <alignment horizontal="center" wrapText="1"/>
    </xf>
    <xf numFmtId="43" fontId="18" fillId="0" borderId="0" xfId="4" applyFont="1" applyFill="1" applyBorder="1"/>
    <xf numFmtId="0" fontId="24" fillId="0" borderId="0" xfId="0" applyFont="1" applyBorder="1"/>
    <xf numFmtId="0" fontId="18" fillId="0" borderId="0" xfId="0" applyFont="1" applyBorder="1"/>
    <xf numFmtId="164" fontId="19" fillId="34" borderId="10" xfId="31" applyNumberFormat="1" applyFont="1" applyFill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18" fillId="0" borderId="0" xfId="0" applyFont="1"/>
    <xf numFmtId="164" fontId="18" fillId="0" borderId="0" xfId="4" applyNumberFormat="1" applyFont="1" applyFill="1"/>
    <xf numFmtId="164" fontId="18" fillId="29" borderId="0" xfId="4" applyNumberFormat="1" applyFont="1" applyFill="1"/>
    <xf numFmtId="0" fontId="24" fillId="0" borderId="0" xfId="0" applyFont="1"/>
    <xf numFmtId="0" fontId="18" fillId="0" borderId="0" xfId="0" applyFont="1"/>
    <xf numFmtId="166" fontId="18" fillId="29" borderId="0" xfId="2" applyNumberFormat="1" applyFont="1" applyFill="1"/>
    <xf numFmtId="164" fontId="18" fillId="29" borderId="0" xfId="4" applyNumberFormat="1" applyFont="1" applyFill="1"/>
    <xf numFmtId="166" fontId="18" fillId="29" borderId="11" xfId="2" applyNumberFormat="1" applyFont="1" applyFill="1" applyBorder="1" applyAlignment="1">
      <alignment horizontal="right"/>
    </xf>
    <xf numFmtId="0" fontId="18" fillId="0" borderId="0" xfId="0" applyFont="1"/>
    <xf numFmtId="164" fontId="18" fillId="0" borderId="0" xfId="4" applyNumberFormat="1" applyFont="1" applyFill="1"/>
    <xf numFmtId="43" fontId="18" fillId="0" borderId="0" xfId="4" applyFont="1" applyFill="1"/>
    <xf numFmtId="164" fontId="19" fillId="34" borderId="10" xfId="31" applyNumberFormat="1" applyFont="1" applyFill="1" applyBorder="1" applyAlignment="1">
      <alignment horizontal="center" wrapText="1"/>
    </xf>
    <xf numFmtId="164" fontId="18" fillId="0" borderId="0" xfId="4" applyNumberFormat="1" applyFont="1"/>
    <xf numFmtId="166" fontId="18" fillId="0" borderId="0" xfId="2" applyNumberFormat="1" applyFont="1" applyFill="1"/>
    <xf numFmtId="166" fontId="18" fillId="0" borderId="11" xfId="2" applyNumberFormat="1" applyFont="1" applyFill="1" applyBorder="1"/>
    <xf numFmtId="164" fontId="18" fillId="0" borderId="12" xfId="4" applyNumberFormat="1" applyFont="1" applyFill="1" applyBorder="1"/>
    <xf numFmtId="164" fontId="18" fillId="0" borderId="0" xfId="4" applyNumberFormat="1" applyFont="1" applyFill="1" applyBorder="1"/>
    <xf numFmtId="166" fontId="18" fillId="0" borderId="13" xfId="2" applyNumberFormat="1" applyFont="1" applyFill="1" applyBorder="1"/>
    <xf numFmtId="164" fontId="19" fillId="34" borderId="0" xfId="4" quotePrefix="1" applyNumberFormat="1" applyFont="1" applyFill="1" applyBorder="1" applyAlignment="1">
      <alignment horizontal="center" wrapText="1"/>
    </xf>
    <xf numFmtId="164" fontId="19" fillId="34" borderId="10" xfId="4" quotePrefix="1" applyNumberFormat="1" applyFont="1" applyFill="1" applyBorder="1" applyAlignment="1">
      <alignment horizontal="center" wrapText="1"/>
    </xf>
    <xf numFmtId="166" fontId="18" fillId="29" borderId="0" xfId="2" applyNumberFormat="1" applyFont="1" applyFill="1"/>
    <xf numFmtId="164" fontId="18" fillId="29" borderId="0" xfId="4" applyNumberFormat="1" applyFont="1" applyFill="1"/>
    <xf numFmtId="164" fontId="18" fillId="29" borderId="12" xfId="4" applyNumberFormat="1" applyFont="1" applyFill="1" applyBorder="1"/>
    <xf numFmtId="164" fontId="18" fillId="29" borderId="0" xfId="4" applyNumberFormat="1" applyFont="1" applyFill="1" applyBorder="1"/>
    <xf numFmtId="166" fontId="18" fillId="29" borderId="13" xfId="2" applyNumberFormat="1" applyFont="1" applyFill="1" applyBorder="1"/>
    <xf numFmtId="166" fontId="18" fillId="29" borderId="11" xfId="2" applyNumberFormat="1" applyFont="1" applyFill="1" applyBorder="1" applyAlignment="1">
      <alignment horizontal="right"/>
    </xf>
    <xf numFmtId="164" fontId="19" fillId="34" borderId="16" xfId="4" quotePrefix="1" applyNumberFormat="1" applyFont="1" applyFill="1" applyBorder="1" applyAlignment="1">
      <alignment horizontal="center" wrapText="1"/>
    </xf>
    <xf numFmtId="164" fontId="19" fillId="34" borderId="16" xfId="4" quotePrefix="1" applyNumberFormat="1" applyFont="1" applyFill="1" applyBorder="1" applyAlignment="1">
      <alignment wrapText="1"/>
    </xf>
    <xf numFmtId="0" fontId="24" fillId="0" borderId="0" xfId="0" applyFont="1"/>
    <xf numFmtId="164" fontId="19" fillId="34" borderId="15" xfId="4" quotePrefix="1" applyNumberFormat="1" applyFont="1" applyFill="1" applyBorder="1" applyAlignment="1">
      <alignment horizontal="center" wrapText="1"/>
    </xf>
    <xf numFmtId="164" fontId="19" fillId="34" borderId="16" xfId="4" quotePrefix="1" applyNumberFormat="1" applyFont="1" applyFill="1" applyBorder="1" applyAlignment="1">
      <alignment horizontal="center" wrapText="1"/>
    </xf>
  </cellXfs>
  <cellStyles count="47">
    <cellStyle name="20% - Accent1" xfId="24" xr:uid="{00000000-0005-0000-0000-000000000000}"/>
    <cellStyle name="20% - Accent2" xfId="28" xr:uid="{00000000-0005-0000-0000-000001000000}"/>
    <cellStyle name="20% - Accent3" xfId="32" xr:uid="{00000000-0005-0000-0000-000002000000}"/>
    <cellStyle name="20% - Accent4" xfId="36" xr:uid="{00000000-0005-0000-0000-000003000000}"/>
    <cellStyle name="20% - Accent5" xfId="40" xr:uid="{00000000-0005-0000-0000-000004000000}"/>
    <cellStyle name="20% - Accent6" xfId="44" xr:uid="{00000000-0005-0000-0000-000005000000}"/>
    <cellStyle name="40% - Accent1" xfId="25" xr:uid="{00000000-0005-0000-0000-000006000000}"/>
    <cellStyle name="40% - Accent2" xfId="29" xr:uid="{00000000-0005-0000-0000-000007000000}"/>
    <cellStyle name="40% - Accent3" xfId="33" xr:uid="{00000000-0005-0000-0000-000008000000}"/>
    <cellStyle name="40% - Accent4" xfId="37" xr:uid="{00000000-0005-0000-0000-000009000000}"/>
    <cellStyle name="40% - Accent5" xfId="41" xr:uid="{00000000-0005-0000-0000-00000A000000}"/>
    <cellStyle name="40% - Accent6" xfId="45" xr:uid="{00000000-0005-0000-0000-00000B000000}"/>
    <cellStyle name="60% - Accent1" xfId="26" xr:uid="{00000000-0005-0000-0000-00000C000000}"/>
    <cellStyle name="60% - Accent2" xfId="30" xr:uid="{00000000-0005-0000-0000-00000D000000}"/>
    <cellStyle name="60% - Accent3" xfId="34" xr:uid="{00000000-0005-0000-0000-00000E000000}"/>
    <cellStyle name="60% - Accent4" xfId="38" xr:uid="{00000000-0005-0000-0000-00000F000000}"/>
    <cellStyle name="60% - Accent5" xfId="42" xr:uid="{00000000-0005-0000-0000-000010000000}"/>
    <cellStyle name="60% - Accent6" xfId="46" xr:uid="{00000000-0005-0000-0000-000011000000}"/>
    <cellStyle name="Accent1" xfId="23" xr:uid="{00000000-0005-0000-0000-000012000000}"/>
    <cellStyle name="Accent2" xfId="27" xr:uid="{00000000-0005-0000-0000-000013000000}"/>
    <cellStyle name="Accent3" xfId="31" xr:uid="{00000000-0005-0000-0000-000014000000}"/>
    <cellStyle name="Accent4" xfId="35" xr:uid="{00000000-0005-0000-0000-000015000000}"/>
    <cellStyle name="Accent5" xfId="39" xr:uid="{00000000-0005-0000-0000-000016000000}"/>
    <cellStyle name="Accent6" xfId="43" xr:uid="{00000000-0005-0000-0000-000017000000}"/>
    <cellStyle name="Bad" xfId="12" xr:uid="{00000000-0005-0000-0000-000018000000}"/>
    <cellStyle name="Calculation" xfId="16" xr:uid="{00000000-0005-0000-0000-000019000000}"/>
    <cellStyle name="Check Cell" xfId="18" xr:uid="{00000000-0005-0000-0000-00001A000000}"/>
    <cellStyle name="Comma" xfId="4" xr:uid="{00000000-0005-0000-0000-00001B000000}"/>
    <cellStyle name="Comma [0]" xfId="5" xr:uid="{00000000-0005-0000-0000-00001C000000}"/>
    <cellStyle name="Currency" xfId="2" xr:uid="{00000000-0005-0000-0000-00001D000000}"/>
    <cellStyle name="Currency [0]" xfId="3" xr:uid="{00000000-0005-0000-0000-00001E000000}"/>
    <cellStyle name="Explanatory Text" xfId="21" xr:uid="{00000000-0005-0000-0000-00001F000000}"/>
    <cellStyle name="Good" xfId="11" xr:uid="{00000000-0005-0000-0000-000020000000}"/>
    <cellStyle name="Heading 1" xfId="7" xr:uid="{00000000-0005-0000-0000-000021000000}"/>
    <cellStyle name="Heading 2" xfId="8" xr:uid="{00000000-0005-0000-0000-000022000000}"/>
    <cellStyle name="Heading 3" xfId="9" xr:uid="{00000000-0005-0000-0000-000023000000}"/>
    <cellStyle name="Heading 4" xfId="10" xr:uid="{00000000-0005-0000-0000-000024000000}"/>
    <cellStyle name="Input" xfId="14" xr:uid="{00000000-0005-0000-0000-000025000000}"/>
    <cellStyle name="Linked Cell" xfId="17" xr:uid="{00000000-0005-0000-0000-000026000000}"/>
    <cellStyle name="Neutral" xfId="13" xr:uid="{00000000-0005-0000-0000-000027000000}"/>
    <cellStyle name="Normal" xfId="0" builtinId="0"/>
    <cellStyle name="Note" xfId="20" xr:uid="{00000000-0005-0000-0000-000029000000}"/>
    <cellStyle name="Output" xfId="15" xr:uid="{00000000-0005-0000-0000-00002A000000}"/>
    <cellStyle name="Percent" xfId="1" xr:uid="{00000000-0005-0000-0000-00002B000000}"/>
    <cellStyle name="Title" xfId="6" xr:uid="{00000000-0005-0000-0000-00002C000000}"/>
    <cellStyle name="Total" xfId="22" xr:uid="{00000000-0005-0000-0000-00002D000000}"/>
    <cellStyle name="Warning Text" xfId="19" xr:uid="{00000000-0005-0000-0000-00002E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125"/>
  <sheetViews>
    <sheetView tabSelected="1" zoomScale="110" zoomScaleNormal="11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N2" sqref="N2"/>
    </sheetView>
  </sheetViews>
  <sheetFormatPr defaultColWidth="9.140625" defaultRowHeight="16.5" x14ac:dyDescent="0.3"/>
  <cols>
    <col min="1" max="1" width="10.85546875" style="1" bestFit="1" customWidth="1"/>
    <col min="2" max="2" width="52.140625" style="2" customWidth="1"/>
    <col min="3" max="3" width="14.5703125" style="7" hidden="1" customWidth="1"/>
    <col min="4" max="4" width="14.5703125" style="7" bestFit="1" customWidth="1"/>
    <col min="5" max="5" width="14.5703125" style="7" hidden="1" customWidth="1"/>
    <col min="6" max="6" width="1.7109375" style="7" customWidth="1"/>
    <col min="7" max="7" width="12.85546875" style="7" bestFit="1" customWidth="1"/>
    <col min="8" max="8" width="14.5703125" style="7" hidden="1" customWidth="1"/>
    <col min="9" max="9" width="1.7109375" style="7" customWidth="1"/>
    <col min="10" max="10" width="14.5703125" style="2" bestFit="1" customWidth="1"/>
    <col min="11" max="11" width="14.5703125" style="2" hidden="1" customWidth="1"/>
    <col min="12" max="12" width="14.5703125" style="93" hidden="1" customWidth="1"/>
    <col min="13" max="13" width="1.7109375" style="7" customWidth="1"/>
    <col min="14" max="14" width="12.85546875" style="95" bestFit="1" customWidth="1"/>
    <col min="15" max="15" width="4.140625" style="2" hidden="1" customWidth="1"/>
    <col min="16" max="16" width="14.28515625" style="7" hidden="1" customWidth="1"/>
    <col min="17" max="17" width="36.140625" style="77" hidden="1" customWidth="1"/>
    <col min="18" max="16384" width="9.140625" style="2"/>
  </cols>
  <sheetData>
    <row r="1" spans="1:17" ht="15" customHeight="1" x14ac:dyDescent="0.3">
      <c r="A1" s="51"/>
      <c r="B1" s="66"/>
      <c r="C1" s="74"/>
      <c r="D1" s="74"/>
      <c r="E1" s="74"/>
      <c r="F1" s="74"/>
      <c r="G1" s="74"/>
      <c r="H1" s="74"/>
      <c r="I1" s="74"/>
      <c r="J1" s="67"/>
      <c r="K1" s="79"/>
      <c r="L1" s="111"/>
      <c r="M1" s="74"/>
      <c r="N1" s="112"/>
      <c r="O1" s="67"/>
      <c r="P1" s="67"/>
      <c r="Q1" s="75"/>
    </row>
    <row r="2" spans="1:17" s="12" customFormat="1" ht="50.25" thickBot="1" x14ac:dyDescent="0.35">
      <c r="A2" s="50" t="s">
        <v>104</v>
      </c>
      <c r="B2" s="8" t="s">
        <v>107</v>
      </c>
      <c r="C2" s="55" t="s">
        <v>130</v>
      </c>
      <c r="D2" s="10" t="s">
        <v>127</v>
      </c>
      <c r="E2" s="55" t="s">
        <v>137</v>
      </c>
      <c r="F2" s="103"/>
      <c r="G2" s="11" t="s">
        <v>131</v>
      </c>
      <c r="H2" s="55" t="s">
        <v>231</v>
      </c>
      <c r="I2" s="55"/>
      <c r="J2" s="11" t="s">
        <v>135</v>
      </c>
      <c r="K2" s="83" t="s">
        <v>232</v>
      </c>
      <c r="L2" s="96" t="s">
        <v>235</v>
      </c>
      <c r="M2" s="55"/>
      <c r="N2" s="96" t="s">
        <v>243</v>
      </c>
      <c r="O2" s="11"/>
      <c r="P2" s="11" t="s">
        <v>223</v>
      </c>
      <c r="Q2" s="76" t="s">
        <v>226</v>
      </c>
    </row>
    <row r="3" spans="1:17" ht="7.5" customHeight="1" x14ac:dyDescent="0.3">
      <c r="C3" s="6"/>
      <c r="D3" s="6"/>
      <c r="E3" s="6"/>
      <c r="F3" s="103"/>
      <c r="H3" s="6"/>
      <c r="I3" s="103"/>
      <c r="M3" s="103"/>
    </row>
    <row r="4" spans="1:17" ht="29.25" customHeight="1" x14ac:dyDescent="0.3">
      <c r="A4" s="1">
        <v>1001</v>
      </c>
      <c r="B4" s="2" t="s">
        <v>0</v>
      </c>
      <c r="C4" s="56">
        <f>1274806.5+9508</f>
        <v>1284314.5</v>
      </c>
      <c r="D4" s="56">
        <v>1314000</v>
      </c>
      <c r="E4" s="56">
        <v>1312690</v>
      </c>
      <c r="F4" s="103"/>
      <c r="G4" s="20">
        <v>1340280</v>
      </c>
      <c r="H4" s="20">
        <v>1334119</v>
      </c>
      <c r="I4" s="103"/>
      <c r="J4" s="56">
        <v>1340285</v>
      </c>
      <c r="K4" s="90">
        <v>1340285</v>
      </c>
      <c r="L4" s="105">
        <f>+K4</f>
        <v>1340285</v>
      </c>
      <c r="M4" s="103"/>
      <c r="N4" s="98">
        <f>+K4*100%</f>
        <v>1340285</v>
      </c>
      <c r="P4" s="94">
        <f>+N4-L4</f>
        <v>0</v>
      </c>
      <c r="Q4" s="77" t="s">
        <v>236</v>
      </c>
    </row>
    <row r="5" spans="1:17" hidden="1" x14ac:dyDescent="0.3">
      <c r="B5" s="2" t="s">
        <v>1</v>
      </c>
      <c r="C5" s="57">
        <v>9508.3799999999992</v>
      </c>
      <c r="D5" s="57">
        <v>0</v>
      </c>
      <c r="E5" s="57">
        <v>2106</v>
      </c>
      <c r="F5" s="103"/>
      <c r="G5" s="6">
        <v>0</v>
      </c>
      <c r="H5" s="6"/>
      <c r="I5" s="103"/>
      <c r="J5" s="57"/>
      <c r="K5" s="91"/>
      <c r="L5" s="106"/>
      <c r="M5" s="103"/>
      <c r="N5" s="94">
        <v>0</v>
      </c>
      <c r="P5" s="94">
        <f t="shared" ref="P5:P43" si="0">+N5-L5</f>
        <v>0</v>
      </c>
    </row>
    <row r="6" spans="1:17" x14ac:dyDescent="0.3">
      <c r="A6" s="1">
        <v>1090</v>
      </c>
      <c r="B6" s="2" t="s">
        <v>2</v>
      </c>
      <c r="C6" s="57">
        <v>5956</v>
      </c>
      <c r="D6" s="57">
        <v>8900</v>
      </c>
      <c r="E6" s="57">
        <v>4426</v>
      </c>
      <c r="F6" s="103"/>
      <c r="G6" s="6">
        <v>5000</v>
      </c>
      <c r="H6" s="6">
        <v>5071</v>
      </c>
      <c r="I6" s="103"/>
      <c r="J6" s="57">
        <v>5000</v>
      </c>
      <c r="K6" s="91">
        <v>3244</v>
      </c>
      <c r="L6" s="106">
        <f>+(K6/7)*12</f>
        <v>5561.1428571428569</v>
      </c>
      <c r="M6" s="103"/>
      <c r="N6" s="94">
        <v>5600</v>
      </c>
      <c r="P6" s="94">
        <f t="shared" si="0"/>
        <v>38.857142857143117</v>
      </c>
      <c r="Q6" s="113"/>
    </row>
    <row r="7" spans="1:17" x14ac:dyDescent="0.3">
      <c r="A7" s="1">
        <v>1110</v>
      </c>
      <c r="B7" s="2" t="s">
        <v>3</v>
      </c>
      <c r="C7" s="57">
        <v>7483</v>
      </c>
      <c r="D7" s="57">
        <v>7500</v>
      </c>
      <c r="E7" s="57">
        <v>0</v>
      </c>
      <c r="F7" s="103"/>
      <c r="G7" s="6">
        <v>7500</v>
      </c>
      <c r="H7" s="6">
        <v>0</v>
      </c>
      <c r="I7" s="103"/>
      <c r="J7" s="57">
        <v>0</v>
      </c>
      <c r="K7" s="91">
        <v>0</v>
      </c>
      <c r="L7" s="106">
        <v>0</v>
      </c>
      <c r="M7" s="103"/>
      <c r="N7" s="94">
        <v>0</v>
      </c>
      <c r="P7" s="94">
        <f t="shared" si="0"/>
        <v>0</v>
      </c>
    </row>
    <row r="8" spans="1:17" x14ac:dyDescent="0.3">
      <c r="A8" s="1">
        <v>1130</v>
      </c>
      <c r="B8" s="2" t="s">
        <v>4</v>
      </c>
      <c r="C8" s="57">
        <v>56685.14</v>
      </c>
      <c r="D8" s="57">
        <v>43000</v>
      </c>
      <c r="E8" s="57">
        <v>47962</v>
      </c>
      <c r="F8" s="103"/>
      <c r="G8" s="6">
        <v>42000</v>
      </c>
      <c r="H8" s="6">
        <v>49878</v>
      </c>
      <c r="I8" s="103"/>
      <c r="J8" s="57">
        <v>42000</v>
      </c>
      <c r="K8" s="91">
        <v>26367</v>
      </c>
      <c r="L8" s="106">
        <f>+(K8/7)*12</f>
        <v>45200.571428571428</v>
      </c>
      <c r="M8" s="103"/>
      <c r="N8" s="94">
        <v>45500</v>
      </c>
      <c r="P8" s="94">
        <f t="shared" si="0"/>
        <v>299.42857142857247</v>
      </c>
    </row>
    <row r="9" spans="1:17" x14ac:dyDescent="0.3">
      <c r="A9" s="1">
        <v>1170</v>
      </c>
      <c r="B9" s="2" t="s">
        <v>5</v>
      </c>
      <c r="C9" s="57">
        <v>40297.910000000003</v>
      </c>
      <c r="D9" s="57">
        <v>30000</v>
      </c>
      <c r="E9" s="57">
        <v>40019</v>
      </c>
      <c r="F9" s="103"/>
      <c r="G9" s="6">
        <v>30000</v>
      </c>
      <c r="H9" s="6">
        <v>38668</v>
      </c>
      <c r="I9" s="103"/>
      <c r="J9" s="57">
        <v>30000</v>
      </c>
      <c r="K9" s="91">
        <v>23605</v>
      </c>
      <c r="L9" s="106">
        <f>+(K9/7)*12</f>
        <v>40465.71428571429</v>
      </c>
      <c r="M9" s="103"/>
      <c r="N9" s="94">
        <v>40500</v>
      </c>
      <c r="P9" s="94">
        <f t="shared" si="0"/>
        <v>34.285714285710128</v>
      </c>
      <c r="Q9" s="113"/>
    </row>
    <row r="10" spans="1:17" x14ac:dyDescent="0.3">
      <c r="A10" s="1">
        <v>1230</v>
      </c>
      <c r="B10" s="2" t="s">
        <v>103</v>
      </c>
      <c r="C10" s="57">
        <v>363.35</v>
      </c>
      <c r="D10" s="57">
        <v>500</v>
      </c>
      <c r="E10" s="57">
        <v>333</v>
      </c>
      <c r="F10" s="103"/>
      <c r="G10" s="6">
        <v>250</v>
      </c>
      <c r="H10" s="6">
        <v>972</v>
      </c>
      <c r="I10" s="103"/>
      <c r="J10" s="57">
        <v>5000</v>
      </c>
      <c r="K10" s="91">
        <v>250</v>
      </c>
      <c r="L10" s="106">
        <v>500</v>
      </c>
      <c r="M10" s="103"/>
      <c r="N10" s="94">
        <v>500</v>
      </c>
      <c r="P10" s="94">
        <f t="shared" si="0"/>
        <v>0</v>
      </c>
    </row>
    <row r="11" spans="1:17" x14ac:dyDescent="0.3">
      <c r="A11" s="1">
        <v>1560</v>
      </c>
      <c r="B11" s="2" t="s">
        <v>6</v>
      </c>
      <c r="C11" s="57">
        <v>1450</v>
      </c>
      <c r="D11" s="57">
        <v>1500</v>
      </c>
      <c r="E11" s="57">
        <v>0</v>
      </c>
      <c r="F11" s="103"/>
      <c r="G11" s="6">
        <v>40000</v>
      </c>
      <c r="H11" s="6">
        <v>300</v>
      </c>
      <c r="I11" s="103"/>
      <c r="J11" s="57">
        <v>0</v>
      </c>
      <c r="K11" s="91">
        <v>0</v>
      </c>
      <c r="L11" s="106">
        <v>0</v>
      </c>
      <c r="M11" s="103"/>
      <c r="N11" s="94">
        <v>0</v>
      </c>
      <c r="P11" s="94">
        <f t="shared" si="0"/>
        <v>0</v>
      </c>
      <c r="Q11" s="77" t="s">
        <v>229</v>
      </c>
    </row>
    <row r="12" spans="1:17" x14ac:dyDescent="0.3">
      <c r="A12" s="1">
        <v>1601</v>
      </c>
      <c r="B12" s="2" t="s">
        <v>118</v>
      </c>
      <c r="C12" s="57">
        <v>750</v>
      </c>
      <c r="D12" s="57">
        <v>750</v>
      </c>
      <c r="E12" s="57">
        <v>785</v>
      </c>
      <c r="F12" s="103"/>
      <c r="G12" s="6">
        <v>2500</v>
      </c>
      <c r="H12" s="6">
        <v>0</v>
      </c>
      <c r="I12" s="103"/>
      <c r="J12" s="57">
        <v>750</v>
      </c>
      <c r="K12" s="91">
        <v>-750</v>
      </c>
      <c r="L12" s="106">
        <v>750</v>
      </c>
      <c r="M12" s="103"/>
      <c r="N12" s="94">
        <v>1000</v>
      </c>
      <c r="P12" s="94">
        <f t="shared" si="0"/>
        <v>250</v>
      </c>
    </row>
    <row r="13" spans="1:17" x14ac:dyDescent="0.3">
      <c r="A13" s="1">
        <v>1689</v>
      </c>
      <c r="B13" s="2" t="s">
        <v>7</v>
      </c>
      <c r="C13" s="57">
        <v>14270.12</v>
      </c>
      <c r="D13" s="57">
        <v>12000</v>
      </c>
      <c r="E13" s="57">
        <v>6714</v>
      </c>
      <c r="F13" s="103"/>
      <c r="G13" s="6">
        <v>6000</v>
      </c>
      <c r="H13" s="6">
        <v>0</v>
      </c>
      <c r="I13" s="103"/>
      <c r="J13" s="57">
        <v>0</v>
      </c>
      <c r="K13" s="91">
        <v>125</v>
      </c>
      <c r="L13" s="106">
        <f t="shared" ref="L13:L41" si="1">+(K13/7)*12</f>
        <v>214.28571428571428</v>
      </c>
      <c r="M13" s="103"/>
      <c r="N13" s="94">
        <v>0</v>
      </c>
      <c r="P13" s="94">
        <f t="shared" si="0"/>
        <v>-214.28571428571428</v>
      </c>
    </row>
    <row r="14" spans="1:17" hidden="1" x14ac:dyDescent="0.3">
      <c r="A14" s="1">
        <v>2110</v>
      </c>
      <c r="B14" s="2" t="s">
        <v>8</v>
      </c>
      <c r="C14" s="57">
        <v>0</v>
      </c>
      <c r="D14" s="57">
        <v>0</v>
      </c>
      <c r="E14" s="57">
        <v>0</v>
      </c>
      <c r="F14" s="103"/>
      <c r="G14" s="6">
        <v>0</v>
      </c>
      <c r="H14" s="6">
        <v>0</v>
      </c>
      <c r="I14" s="103"/>
      <c r="J14" s="57">
        <v>0</v>
      </c>
      <c r="K14" s="91"/>
      <c r="L14" s="106">
        <f t="shared" si="1"/>
        <v>0</v>
      </c>
      <c r="M14" s="103"/>
      <c r="N14" s="94">
        <v>0</v>
      </c>
      <c r="P14" s="94">
        <f t="shared" si="0"/>
        <v>0</v>
      </c>
    </row>
    <row r="15" spans="1:17" hidden="1" x14ac:dyDescent="0.3">
      <c r="A15" s="1">
        <v>2115</v>
      </c>
      <c r="B15" s="2" t="s">
        <v>89</v>
      </c>
      <c r="C15" s="57">
        <v>0</v>
      </c>
      <c r="D15" s="57">
        <v>0</v>
      </c>
      <c r="E15" s="57">
        <v>0</v>
      </c>
      <c r="F15" s="103"/>
      <c r="G15" s="6">
        <v>0</v>
      </c>
      <c r="H15" s="6">
        <v>0</v>
      </c>
      <c r="I15" s="103"/>
      <c r="J15" s="57">
        <v>0</v>
      </c>
      <c r="K15" s="91"/>
      <c r="L15" s="106">
        <f t="shared" si="1"/>
        <v>0</v>
      </c>
      <c r="M15" s="103"/>
      <c r="N15" s="94">
        <v>0</v>
      </c>
      <c r="P15" s="94">
        <f t="shared" si="0"/>
        <v>0</v>
      </c>
    </row>
    <row r="16" spans="1:17" hidden="1" x14ac:dyDescent="0.3">
      <c r="A16" s="1">
        <v>2115</v>
      </c>
      <c r="B16" s="2" t="s">
        <v>144</v>
      </c>
      <c r="C16" s="57">
        <v>0</v>
      </c>
      <c r="D16" s="57">
        <v>0</v>
      </c>
      <c r="E16" s="57">
        <v>1800</v>
      </c>
      <c r="F16" s="103"/>
      <c r="G16" s="6">
        <v>0</v>
      </c>
      <c r="H16" s="6">
        <v>1000</v>
      </c>
      <c r="I16" s="103"/>
      <c r="J16" s="57">
        <v>0</v>
      </c>
      <c r="K16" s="91"/>
      <c r="L16" s="106">
        <f t="shared" si="1"/>
        <v>0</v>
      </c>
      <c r="M16" s="103"/>
      <c r="N16" s="94">
        <v>0</v>
      </c>
      <c r="P16" s="94">
        <f t="shared" si="0"/>
        <v>0</v>
      </c>
    </row>
    <row r="17" spans="1:16" hidden="1" x14ac:dyDescent="0.3">
      <c r="A17" s="1">
        <v>2123</v>
      </c>
      <c r="B17" s="2" t="s">
        <v>145</v>
      </c>
      <c r="C17" s="57">
        <v>0</v>
      </c>
      <c r="D17" s="57">
        <v>0</v>
      </c>
      <c r="E17" s="57">
        <v>250</v>
      </c>
      <c r="F17" s="103"/>
      <c r="G17" s="6">
        <v>0</v>
      </c>
      <c r="H17" s="6">
        <v>750</v>
      </c>
      <c r="I17" s="103"/>
      <c r="J17" s="57">
        <v>0</v>
      </c>
      <c r="K17" s="91">
        <v>750</v>
      </c>
      <c r="L17" s="106">
        <f t="shared" si="1"/>
        <v>1285.7142857142858</v>
      </c>
      <c r="M17" s="103"/>
      <c r="N17" s="94">
        <v>0</v>
      </c>
      <c r="P17" s="94">
        <f t="shared" si="0"/>
        <v>-1285.7142857142858</v>
      </c>
    </row>
    <row r="18" spans="1:16" x14ac:dyDescent="0.3">
      <c r="A18" s="1">
        <v>2189</v>
      </c>
      <c r="B18" s="2" t="s">
        <v>119</v>
      </c>
      <c r="C18" s="57">
        <v>9650</v>
      </c>
      <c r="D18" s="57">
        <v>7000</v>
      </c>
      <c r="E18" s="57">
        <v>13900</v>
      </c>
      <c r="F18" s="103"/>
      <c r="G18" s="6">
        <v>0</v>
      </c>
      <c r="H18" s="6">
        <v>10925</v>
      </c>
      <c r="I18" s="103"/>
      <c r="J18" s="57">
        <v>7000</v>
      </c>
      <c r="K18" s="91">
        <v>5400</v>
      </c>
      <c r="L18" s="106">
        <v>7000</v>
      </c>
      <c r="M18" s="103"/>
      <c r="N18" s="94">
        <v>7000</v>
      </c>
      <c r="P18" s="94">
        <f t="shared" si="0"/>
        <v>0</v>
      </c>
    </row>
    <row r="19" spans="1:16" x14ac:dyDescent="0.3">
      <c r="A19" s="1">
        <v>2401</v>
      </c>
      <c r="B19" s="2" t="s">
        <v>9</v>
      </c>
      <c r="C19" s="57">
        <v>4283.16</v>
      </c>
      <c r="D19" s="57">
        <v>4800</v>
      </c>
      <c r="E19" s="57">
        <v>4079</v>
      </c>
      <c r="F19" s="103"/>
      <c r="G19" s="6">
        <v>3000</v>
      </c>
      <c r="H19" s="6">
        <v>4382</v>
      </c>
      <c r="I19" s="103"/>
      <c r="J19" s="57">
        <v>4000</v>
      </c>
      <c r="K19" s="91">
        <v>1315</v>
      </c>
      <c r="L19" s="106">
        <v>1500</v>
      </c>
      <c r="M19" s="103"/>
      <c r="N19" s="94">
        <v>1500</v>
      </c>
      <c r="P19" s="94">
        <f t="shared" si="0"/>
        <v>0</v>
      </c>
    </row>
    <row r="20" spans="1:16" x14ac:dyDescent="0.3">
      <c r="A20" s="1">
        <v>2501</v>
      </c>
      <c r="B20" s="2" t="s">
        <v>10</v>
      </c>
      <c r="C20" s="57">
        <v>2600</v>
      </c>
      <c r="D20" s="57">
        <v>750</v>
      </c>
      <c r="E20" s="57">
        <v>1700</v>
      </c>
      <c r="F20" s="103"/>
      <c r="G20" s="6">
        <v>100</v>
      </c>
      <c r="H20" s="6">
        <v>2950</v>
      </c>
      <c r="I20" s="103"/>
      <c r="J20" s="57">
        <v>1000</v>
      </c>
      <c r="K20" s="91">
        <v>400</v>
      </c>
      <c r="L20" s="106">
        <f t="shared" si="1"/>
        <v>685.71428571428578</v>
      </c>
      <c r="M20" s="103"/>
      <c r="N20" s="94">
        <v>100</v>
      </c>
      <c r="P20" s="94">
        <f t="shared" si="0"/>
        <v>-585.71428571428578</v>
      </c>
    </row>
    <row r="21" spans="1:16" x14ac:dyDescent="0.3">
      <c r="A21" s="1">
        <v>2555</v>
      </c>
      <c r="B21" s="2" t="s">
        <v>11</v>
      </c>
      <c r="C21" s="57">
        <f>149297.72+15000</f>
        <v>164297.72</v>
      </c>
      <c r="D21" s="57">
        <v>175000</v>
      </c>
      <c r="E21" s="57">
        <v>229852</v>
      </c>
      <c r="F21" s="103"/>
      <c r="G21" s="6">
        <v>160000</v>
      </c>
      <c r="H21" s="6">
        <v>247349</v>
      </c>
      <c r="I21" s="103"/>
      <c r="J21" s="57">
        <v>225000</v>
      </c>
      <c r="K21" s="91">
        <v>187665</v>
      </c>
      <c r="L21" s="106">
        <v>230000</v>
      </c>
      <c r="M21" s="103"/>
      <c r="N21" s="94">
        <v>240000</v>
      </c>
      <c r="P21" s="94">
        <f t="shared" si="0"/>
        <v>10000</v>
      </c>
    </row>
    <row r="22" spans="1:16" x14ac:dyDescent="0.3">
      <c r="A22" s="1">
        <v>2560</v>
      </c>
      <c r="B22" s="2" t="s">
        <v>12</v>
      </c>
      <c r="C22" s="57">
        <v>19500</v>
      </c>
      <c r="D22" s="57">
        <v>8000</v>
      </c>
      <c r="E22" s="57">
        <f>6500-2500</f>
        <v>4000</v>
      </c>
      <c r="F22" s="103"/>
      <c r="G22" s="6">
        <v>5000</v>
      </c>
      <c r="H22" s="6">
        <f>20750-371</f>
        <v>20379</v>
      </c>
      <c r="I22" s="103"/>
      <c r="J22" s="57">
        <v>5000</v>
      </c>
      <c r="K22" s="91">
        <v>10656</v>
      </c>
      <c r="L22" s="106">
        <v>12000</v>
      </c>
      <c r="M22" s="103"/>
      <c r="N22" s="94">
        <v>5000</v>
      </c>
      <c r="P22" s="94">
        <f t="shared" si="0"/>
        <v>-7000</v>
      </c>
    </row>
    <row r="23" spans="1:16" hidden="1" x14ac:dyDescent="0.3">
      <c r="A23" s="1">
        <v>2561</v>
      </c>
      <c r="B23" s="2" t="s">
        <v>13</v>
      </c>
      <c r="C23" s="57"/>
      <c r="D23" s="57">
        <v>0</v>
      </c>
      <c r="E23" s="57"/>
      <c r="F23" s="103"/>
      <c r="G23" s="6">
        <v>0</v>
      </c>
      <c r="H23" s="6"/>
      <c r="I23" s="103"/>
      <c r="J23" s="57"/>
      <c r="K23" s="91"/>
      <c r="L23" s="106">
        <f t="shared" si="1"/>
        <v>0</v>
      </c>
      <c r="M23" s="103"/>
      <c r="N23" s="94">
        <v>0</v>
      </c>
      <c r="P23" s="94">
        <f t="shared" si="0"/>
        <v>0</v>
      </c>
    </row>
    <row r="24" spans="1:16" x14ac:dyDescent="0.3">
      <c r="A24" s="1">
        <v>2565</v>
      </c>
      <c r="B24" s="2" t="s">
        <v>120</v>
      </c>
      <c r="C24" s="57">
        <v>0</v>
      </c>
      <c r="D24" s="57">
        <v>0</v>
      </c>
      <c r="E24" s="57">
        <v>550</v>
      </c>
      <c r="F24" s="103"/>
      <c r="G24" s="6">
        <v>3000</v>
      </c>
      <c r="H24" s="6">
        <v>1625</v>
      </c>
      <c r="I24" s="103"/>
      <c r="J24" s="57">
        <v>3000</v>
      </c>
      <c r="K24" s="91">
        <v>250</v>
      </c>
      <c r="L24" s="106">
        <f t="shared" si="1"/>
        <v>428.57142857142856</v>
      </c>
      <c r="M24" s="103"/>
      <c r="N24" s="94">
        <v>3000</v>
      </c>
      <c r="P24" s="94">
        <f t="shared" si="0"/>
        <v>2571.4285714285716</v>
      </c>
    </row>
    <row r="25" spans="1:16" x14ac:dyDescent="0.3">
      <c r="A25" s="1">
        <v>2590</v>
      </c>
      <c r="B25" s="2" t="s">
        <v>98</v>
      </c>
      <c r="C25" s="57">
        <f>19150-15000</f>
        <v>4150</v>
      </c>
      <c r="D25" s="57">
        <v>10000</v>
      </c>
      <c r="E25" s="57">
        <v>12675</v>
      </c>
      <c r="F25" s="103"/>
      <c r="G25" s="6">
        <v>10400</v>
      </c>
      <c r="H25" s="6">
        <v>16700</v>
      </c>
      <c r="I25" s="103"/>
      <c r="J25" s="57">
        <v>11000</v>
      </c>
      <c r="K25" s="91">
        <v>11200</v>
      </c>
      <c r="L25" s="106">
        <v>12000</v>
      </c>
      <c r="M25" s="103"/>
      <c r="N25" s="94">
        <v>11000</v>
      </c>
      <c r="P25" s="94">
        <f t="shared" si="0"/>
        <v>-1000</v>
      </c>
    </row>
    <row r="26" spans="1:16" x14ac:dyDescent="0.3">
      <c r="A26" s="1">
        <v>2594</v>
      </c>
      <c r="B26" s="2" t="s">
        <v>14</v>
      </c>
      <c r="C26" s="57">
        <v>-1950</v>
      </c>
      <c r="D26" s="57">
        <v>2000</v>
      </c>
      <c r="E26" s="57">
        <v>-425</v>
      </c>
      <c r="F26" s="103"/>
      <c r="G26" s="6">
        <v>2000</v>
      </c>
      <c r="H26" s="6">
        <v>505</v>
      </c>
      <c r="I26" s="103"/>
      <c r="J26" s="57">
        <v>500</v>
      </c>
      <c r="K26" s="91">
        <v>100</v>
      </c>
      <c r="L26" s="106">
        <f t="shared" si="1"/>
        <v>171.42857142857144</v>
      </c>
      <c r="M26" s="103"/>
      <c r="N26" s="94">
        <v>500</v>
      </c>
      <c r="P26" s="94">
        <f t="shared" si="0"/>
        <v>328.57142857142856</v>
      </c>
    </row>
    <row r="27" spans="1:16" x14ac:dyDescent="0.3">
      <c r="A27" s="1">
        <v>2595</v>
      </c>
      <c r="B27" s="2" t="s">
        <v>87</v>
      </c>
      <c r="C27" s="57">
        <v>2475</v>
      </c>
      <c r="D27" s="57">
        <v>0</v>
      </c>
      <c r="E27" s="57">
        <v>5000</v>
      </c>
      <c r="F27" s="103"/>
      <c r="G27" s="6">
        <v>0</v>
      </c>
      <c r="H27" s="6">
        <v>7000</v>
      </c>
      <c r="I27" s="103"/>
      <c r="J27" s="57">
        <v>0</v>
      </c>
      <c r="K27" s="91">
        <v>0</v>
      </c>
      <c r="L27" s="106">
        <f t="shared" si="1"/>
        <v>0</v>
      </c>
      <c r="M27" s="103"/>
      <c r="N27" s="94">
        <v>0</v>
      </c>
      <c r="P27" s="94">
        <f t="shared" si="0"/>
        <v>0</v>
      </c>
    </row>
    <row r="28" spans="1:16" x14ac:dyDescent="0.3">
      <c r="A28" s="1">
        <v>2610</v>
      </c>
      <c r="B28" s="2" t="s">
        <v>15</v>
      </c>
      <c r="C28" s="57">
        <v>120305</v>
      </c>
      <c r="D28" s="57">
        <v>90000</v>
      </c>
      <c r="E28" s="57">
        <v>49728</v>
      </c>
      <c r="F28" s="103"/>
      <c r="G28" s="6">
        <v>80000</v>
      </c>
      <c r="H28" s="6">
        <v>13916</v>
      </c>
      <c r="I28" s="103"/>
      <c r="J28" s="57">
        <v>50000</v>
      </c>
      <c r="K28" s="91">
        <v>22376</v>
      </c>
      <c r="L28" s="106">
        <f t="shared" si="1"/>
        <v>38358.857142857145</v>
      </c>
      <c r="M28" s="103"/>
      <c r="N28" s="94">
        <v>50000</v>
      </c>
      <c r="P28" s="94">
        <f t="shared" si="0"/>
        <v>11641.142857142855</v>
      </c>
    </row>
    <row r="29" spans="1:16" hidden="1" x14ac:dyDescent="0.3">
      <c r="A29" s="1">
        <v>2655</v>
      </c>
      <c r="B29" s="2" t="s">
        <v>146</v>
      </c>
      <c r="C29" s="57">
        <v>0</v>
      </c>
      <c r="D29" s="57">
        <v>0</v>
      </c>
      <c r="E29" s="57">
        <v>-1927</v>
      </c>
      <c r="F29" s="103"/>
      <c r="G29" s="6">
        <v>0</v>
      </c>
      <c r="H29" s="6"/>
      <c r="I29" s="103"/>
      <c r="J29" s="57">
        <v>0</v>
      </c>
      <c r="K29" s="91"/>
      <c r="L29" s="106">
        <f t="shared" si="1"/>
        <v>0</v>
      </c>
      <c r="M29" s="103"/>
      <c r="N29" s="94">
        <v>0</v>
      </c>
      <c r="P29" s="94">
        <f t="shared" si="0"/>
        <v>0</v>
      </c>
    </row>
    <row r="30" spans="1:16" x14ac:dyDescent="0.3">
      <c r="A30" s="1">
        <v>2665</v>
      </c>
      <c r="B30" s="2" t="s">
        <v>84</v>
      </c>
      <c r="C30" s="57">
        <v>0</v>
      </c>
      <c r="D30" s="57">
        <v>75</v>
      </c>
      <c r="E30" s="57">
        <v>0</v>
      </c>
      <c r="F30" s="103"/>
      <c r="G30" s="6">
        <v>0</v>
      </c>
      <c r="H30" s="6">
        <v>0</v>
      </c>
      <c r="I30" s="103"/>
      <c r="J30" s="57">
        <v>15000</v>
      </c>
      <c r="K30" s="91">
        <v>9000</v>
      </c>
      <c r="L30" s="106">
        <v>16000</v>
      </c>
      <c r="M30" s="103"/>
      <c r="N30" s="94">
        <v>0</v>
      </c>
      <c r="P30" s="94">
        <f t="shared" si="0"/>
        <v>-16000</v>
      </c>
    </row>
    <row r="31" spans="1:16" x14ac:dyDescent="0.3">
      <c r="A31" s="1">
        <v>2680</v>
      </c>
      <c r="B31" s="2" t="s">
        <v>117</v>
      </c>
      <c r="C31" s="57">
        <v>2250</v>
      </c>
      <c r="D31" s="57">
        <v>0</v>
      </c>
      <c r="E31" s="57">
        <v>0</v>
      </c>
      <c r="F31" s="103"/>
      <c r="G31" s="6">
        <v>0</v>
      </c>
      <c r="H31" s="6">
        <v>0</v>
      </c>
      <c r="I31" s="103"/>
      <c r="J31" s="57">
        <v>0</v>
      </c>
      <c r="K31" s="91">
        <v>1452</v>
      </c>
      <c r="L31" s="106">
        <f t="shared" si="1"/>
        <v>2489.1428571428569</v>
      </c>
      <c r="M31" s="103"/>
      <c r="N31" s="94">
        <v>1500</v>
      </c>
      <c r="P31" s="94">
        <f t="shared" si="0"/>
        <v>-989.14285714285688</v>
      </c>
    </row>
    <row r="32" spans="1:16" x14ac:dyDescent="0.3">
      <c r="A32" s="1">
        <v>2690</v>
      </c>
      <c r="B32" s="2" t="s">
        <v>147</v>
      </c>
      <c r="C32" s="57">
        <v>0</v>
      </c>
      <c r="D32" s="57">
        <v>0</v>
      </c>
      <c r="E32" s="57">
        <v>4275</v>
      </c>
      <c r="F32" s="103"/>
      <c r="G32" s="6">
        <v>0</v>
      </c>
      <c r="H32" s="6">
        <v>1389</v>
      </c>
      <c r="I32" s="103"/>
      <c r="J32" s="57">
        <v>0</v>
      </c>
      <c r="K32" s="91">
        <v>1725</v>
      </c>
      <c r="L32" s="106">
        <f t="shared" si="1"/>
        <v>2957.1428571428569</v>
      </c>
      <c r="M32" s="103"/>
      <c r="N32" s="94">
        <v>1500</v>
      </c>
      <c r="P32" s="94">
        <f t="shared" si="0"/>
        <v>-1457.1428571428569</v>
      </c>
    </row>
    <row r="33" spans="1:17" hidden="1" x14ac:dyDescent="0.3">
      <c r="A33" s="1">
        <v>2701</v>
      </c>
      <c r="B33" s="2" t="s">
        <v>222</v>
      </c>
      <c r="C33" s="57">
        <v>0</v>
      </c>
      <c r="D33" s="57">
        <v>0</v>
      </c>
      <c r="E33" s="57">
        <v>0</v>
      </c>
      <c r="F33" s="103"/>
      <c r="G33" s="6">
        <v>0</v>
      </c>
      <c r="H33" s="6">
        <v>0</v>
      </c>
      <c r="I33" s="103"/>
      <c r="J33" s="57">
        <v>0</v>
      </c>
      <c r="K33" s="91">
        <v>0</v>
      </c>
      <c r="L33" s="106">
        <f t="shared" si="1"/>
        <v>0</v>
      </c>
      <c r="M33" s="103"/>
      <c r="N33" s="94">
        <v>0</v>
      </c>
      <c r="P33" s="94">
        <f t="shared" si="0"/>
        <v>0</v>
      </c>
    </row>
    <row r="34" spans="1:17" x14ac:dyDescent="0.3">
      <c r="A34" s="1">
        <v>2705</v>
      </c>
      <c r="B34" s="2" t="s">
        <v>16</v>
      </c>
      <c r="C34" s="57">
        <v>0</v>
      </c>
      <c r="D34" s="57">
        <v>0</v>
      </c>
      <c r="E34" s="57">
        <v>1400</v>
      </c>
      <c r="F34" s="103"/>
      <c r="G34" s="6">
        <v>0</v>
      </c>
      <c r="H34" s="6">
        <v>5250</v>
      </c>
      <c r="I34" s="103"/>
      <c r="J34" s="57">
        <v>0</v>
      </c>
      <c r="K34" s="91">
        <v>0</v>
      </c>
      <c r="L34" s="106">
        <f t="shared" si="1"/>
        <v>0</v>
      </c>
      <c r="M34" s="103"/>
      <c r="N34" s="94">
        <v>0</v>
      </c>
      <c r="P34" s="94">
        <f t="shared" si="0"/>
        <v>0</v>
      </c>
    </row>
    <row r="35" spans="1:17" x14ac:dyDescent="0.3">
      <c r="A35" s="1">
        <v>2770</v>
      </c>
      <c r="B35" s="2" t="s">
        <v>121</v>
      </c>
      <c r="C35" s="57">
        <v>172</v>
      </c>
      <c r="D35" s="57">
        <v>500</v>
      </c>
      <c r="E35" s="57">
        <v>1720</v>
      </c>
      <c r="F35" s="103"/>
      <c r="G35" s="6">
        <v>0</v>
      </c>
      <c r="H35" s="6">
        <v>5713</v>
      </c>
      <c r="I35" s="103"/>
      <c r="J35" s="57">
        <v>500</v>
      </c>
      <c r="K35" s="91">
        <v>591</v>
      </c>
      <c r="L35" s="106">
        <f t="shared" si="1"/>
        <v>1013.1428571428571</v>
      </c>
      <c r="M35" s="103"/>
      <c r="N35" s="94">
        <v>0</v>
      </c>
      <c r="P35" s="94">
        <f t="shared" si="0"/>
        <v>-1013.1428571428571</v>
      </c>
    </row>
    <row r="36" spans="1:17" x14ac:dyDescent="0.3">
      <c r="A36" s="1">
        <v>2777</v>
      </c>
      <c r="B36" s="2" t="s">
        <v>17</v>
      </c>
      <c r="C36" s="57">
        <v>10547</v>
      </c>
      <c r="D36" s="57">
        <v>500</v>
      </c>
      <c r="E36" s="57">
        <v>83</v>
      </c>
      <c r="F36" s="103"/>
      <c r="G36" s="6">
        <v>2000</v>
      </c>
      <c r="H36" s="6">
        <v>0</v>
      </c>
      <c r="I36" s="103"/>
      <c r="J36" s="57">
        <v>500</v>
      </c>
      <c r="K36" s="91">
        <f>193155-193155</f>
        <v>0</v>
      </c>
      <c r="L36" s="106">
        <f t="shared" si="1"/>
        <v>0</v>
      </c>
      <c r="M36" s="103"/>
      <c r="N36" s="94">
        <v>2000</v>
      </c>
      <c r="P36" s="94">
        <f t="shared" si="0"/>
        <v>2000</v>
      </c>
    </row>
    <row r="37" spans="1:17" x14ac:dyDescent="0.3">
      <c r="A37" s="1">
        <v>3001</v>
      </c>
      <c r="B37" s="2" t="s">
        <v>18</v>
      </c>
      <c r="C37" s="57">
        <v>90979.3</v>
      </c>
      <c r="D37" s="57">
        <v>11000</v>
      </c>
      <c r="E37" s="57">
        <v>10547</v>
      </c>
      <c r="F37" s="103"/>
      <c r="G37" s="6">
        <v>13000</v>
      </c>
      <c r="H37" s="6">
        <v>11709</v>
      </c>
      <c r="I37" s="103"/>
      <c r="J37" s="57">
        <v>8438</v>
      </c>
      <c r="K37" s="91">
        <v>138409</v>
      </c>
      <c r="L37" s="106">
        <v>138409</v>
      </c>
      <c r="M37" s="103"/>
      <c r="N37" s="94">
        <v>11000</v>
      </c>
      <c r="P37" s="94">
        <f t="shared" si="0"/>
        <v>-127409</v>
      </c>
      <c r="Q37" s="77" t="s">
        <v>242</v>
      </c>
    </row>
    <row r="38" spans="1:17" x14ac:dyDescent="0.3">
      <c r="A38" s="1">
        <v>3005</v>
      </c>
      <c r="B38" s="2" t="s">
        <v>19</v>
      </c>
      <c r="C38" s="57">
        <v>0</v>
      </c>
      <c r="D38" s="57">
        <v>75000</v>
      </c>
      <c r="E38" s="57">
        <v>83043</v>
      </c>
      <c r="F38" s="103"/>
      <c r="G38" s="6">
        <v>50000</v>
      </c>
      <c r="H38" s="6">
        <v>102246</v>
      </c>
      <c r="I38" s="103"/>
      <c r="J38" s="57">
        <v>60000</v>
      </c>
      <c r="K38" s="91">
        <v>28250</v>
      </c>
      <c r="L38" s="106">
        <f t="shared" si="1"/>
        <v>48428.571428571428</v>
      </c>
      <c r="M38" s="103"/>
      <c r="N38" s="94">
        <v>40000</v>
      </c>
      <c r="P38" s="94">
        <f t="shared" si="0"/>
        <v>-8428.5714285714275</v>
      </c>
    </row>
    <row r="39" spans="1:17" hidden="1" x14ac:dyDescent="0.3">
      <c r="A39" s="1">
        <v>3021</v>
      </c>
      <c r="B39" s="2" t="s">
        <v>20</v>
      </c>
      <c r="C39" s="57">
        <v>303</v>
      </c>
      <c r="D39" s="57">
        <v>0</v>
      </c>
      <c r="E39" s="57"/>
      <c r="F39" s="103"/>
      <c r="G39" s="6">
        <v>0</v>
      </c>
      <c r="H39" s="6"/>
      <c r="I39" s="103"/>
      <c r="J39" s="57"/>
      <c r="K39" s="91"/>
      <c r="L39" s="106">
        <f t="shared" si="1"/>
        <v>0</v>
      </c>
      <c r="M39" s="103"/>
      <c r="N39" s="94">
        <v>0</v>
      </c>
      <c r="P39" s="94">
        <f t="shared" si="0"/>
        <v>0</v>
      </c>
    </row>
    <row r="40" spans="1:17" hidden="1" x14ac:dyDescent="0.3">
      <c r="A40" s="1">
        <v>3089</v>
      </c>
      <c r="B40" s="2" t="s">
        <v>85</v>
      </c>
      <c r="C40" s="57">
        <v>87382.97</v>
      </c>
      <c r="D40" s="57">
        <v>0</v>
      </c>
      <c r="E40" s="57"/>
      <c r="F40" s="103"/>
      <c r="G40" s="6">
        <v>0</v>
      </c>
      <c r="H40" s="6"/>
      <c r="I40" s="103"/>
      <c r="J40" s="57"/>
      <c r="K40" s="91"/>
      <c r="L40" s="106">
        <f t="shared" si="1"/>
        <v>0</v>
      </c>
      <c r="M40" s="103"/>
      <c r="N40" s="94">
        <v>0</v>
      </c>
      <c r="P40" s="94">
        <f t="shared" si="0"/>
        <v>0</v>
      </c>
    </row>
    <row r="41" spans="1:17" s="85" customFormat="1" x14ac:dyDescent="0.3">
      <c r="A41" s="1">
        <v>3501</v>
      </c>
      <c r="B41" s="2" t="s">
        <v>21</v>
      </c>
      <c r="C41" s="57">
        <v>0</v>
      </c>
      <c r="D41" s="57">
        <v>73000</v>
      </c>
      <c r="E41" s="57">
        <v>77807</v>
      </c>
      <c r="F41" s="103"/>
      <c r="G41" s="6">
        <v>60000</v>
      </c>
      <c r="H41" s="6">
        <v>0</v>
      </c>
      <c r="I41" s="103"/>
      <c r="J41" s="57">
        <v>60000</v>
      </c>
      <c r="K41" s="91">
        <v>0</v>
      </c>
      <c r="L41" s="106">
        <f t="shared" si="1"/>
        <v>0</v>
      </c>
      <c r="M41" s="103"/>
      <c r="N41" s="94">
        <v>185000</v>
      </c>
      <c r="O41" s="2"/>
      <c r="P41" s="94">
        <f t="shared" si="0"/>
        <v>185000</v>
      </c>
      <c r="Q41" s="77"/>
    </row>
    <row r="42" spans="1:17" s="85" customFormat="1" x14ac:dyDescent="0.3">
      <c r="A42" s="84">
        <v>3960</v>
      </c>
      <c r="B42" s="89" t="s">
        <v>233</v>
      </c>
      <c r="C42" s="87"/>
      <c r="D42" s="87">
        <v>0</v>
      </c>
      <c r="E42" s="87">
        <v>0</v>
      </c>
      <c r="F42" s="103"/>
      <c r="G42" s="86">
        <v>0</v>
      </c>
      <c r="H42" s="86">
        <v>0</v>
      </c>
      <c r="I42" s="103"/>
      <c r="J42" s="87">
        <v>0</v>
      </c>
      <c r="K42" s="91">
        <v>754</v>
      </c>
      <c r="L42" s="106">
        <v>754</v>
      </c>
      <c r="M42" s="103"/>
      <c r="N42" s="94">
        <v>0</v>
      </c>
      <c r="P42" s="94">
        <f t="shared" si="0"/>
        <v>-754</v>
      </c>
      <c r="Q42" s="88"/>
    </row>
    <row r="43" spans="1:17" s="85" customFormat="1" x14ac:dyDescent="0.3">
      <c r="A43" s="84">
        <v>4589</v>
      </c>
      <c r="B43" s="89" t="s">
        <v>234</v>
      </c>
      <c r="C43" s="87"/>
      <c r="D43" s="87">
        <v>0</v>
      </c>
      <c r="E43" s="87">
        <v>0</v>
      </c>
      <c r="F43" s="103"/>
      <c r="G43" s="86">
        <v>0</v>
      </c>
      <c r="H43" s="86">
        <v>0</v>
      </c>
      <c r="I43" s="103"/>
      <c r="J43" s="87">
        <v>0</v>
      </c>
      <c r="K43" s="91">
        <v>7595</v>
      </c>
      <c r="L43" s="106">
        <v>7595</v>
      </c>
      <c r="M43" s="103"/>
      <c r="N43" s="94">
        <v>138409</v>
      </c>
      <c r="P43" s="94">
        <f t="shared" si="0"/>
        <v>130814</v>
      </c>
      <c r="Q43" s="88"/>
    </row>
    <row r="44" spans="1:17" ht="17.25" thickBot="1" x14ac:dyDescent="0.35">
      <c r="B44" s="2" t="s">
        <v>82</v>
      </c>
      <c r="C44" s="62">
        <f>SUM(C4:C43)</f>
        <v>1938023.5499999998</v>
      </c>
      <c r="D44" s="62">
        <f>SUM(D4:D43)</f>
        <v>1875775</v>
      </c>
      <c r="E44" s="62">
        <f>SUM(E4:E43)</f>
        <v>1915092</v>
      </c>
      <c r="F44" s="103"/>
      <c r="G44" s="24">
        <f>SUM(G4:G43)</f>
        <v>1862030</v>
      </c>
      <c r="H44" s="24">
        <f>SUM(H4:H43)</f>
        <v>1882796</v>
      </c>
      <c r="I44" s="103"/>
      <c r="J44" s="62">
        <f>SUM(J4:J43)</f>
        <v>1873973</v>
      </c>
      <c r="K44" s="92">
        <f>SUM(K4:K43)</f>
        <v>1821014</v>
      </c>
      <c r="L44" s="110">
        <f>SUM(L4:L43)</f>
        <v>1954053.0000000002</v>
      </c>
      <c r="M44" s="103"/>
      <c r="N44" s="99">
        <f>SUM(N4:N43)</f>
        <v>2130894</v>
      </c>
      <c r="P44" s="24">
        <f>SUM(P4:P43)</f>
        <v>176841</v>
      </c>
    </row>
    <row r="45" spans="1:17" ht="14.45" customHeight="1" thickTop="1" x14ac:dyDescent="0.3">
      <c r="C45" s="57"/>
      <c r="D45" s="57"/>
      <c r="E45" s="57"/>
      <c r="F45" s="103"/>
      <c r="G45" s="6"/>
      <c r="H45" s="6"/>
      <c r="I45" s="103"/>
      <c r="J45" s="57"/>
      <c r="K45" s="91"/>
      <c r="L45" s="106"/>
      <c r="M45" s="103"/>
      <c r="N45" s="94"/>
      <c r="P45" s="6"/>
    </row>
    <row r="46" spans="1:17" x14ac:dyDescent="0.3">
      <c r="A46" s="25">
        <v>1110.0101</v>
      </c>
      <c r="B46" s="2" t="s">
        <v>22</v>
      </c>
      <c r="C46" s="56">
        <v>8349.91</v>
      </c>
      <c r="D46" s="56">
        <v>8500</v>
      </c>
      <c r="E46" s="56">
        <v>8612</v>
      </c>
      <c r="F46" s="103"/>
      <c r="G46" s="20">
        <v>8500</v>
      </c>
      <c r="H46" s="20">
        <v>8362</v>
      </c>
      <c r="I46" s="103"/>
      <c r="J46" s="56">
        <f>ROUND(G46*1.03,0)</f>
        <v>8755</v>
      </c>
      <c r="K46" s="105">
        <v>5388</v>
      </c>
      <c r="L46" s="106">
        <f t="shared" ref="L46:L109" si="2">+(K46/7)*12</f>
        <v>9236.5714285714275</v>
      </c>
      <c r="M46" s="103"/>
      <c r="N46" s="98">
        <v>8500</v>
      </c>
      <c r="P46" s="94">
        <f t="shared" ref="P46:P109" si="3">+N46-L46</f>
        <v>-736.57142857142753</v>
      </c>
    </row>
    <row r="47" spans="1:17" x14ac:dyDescent="0.3">
      <c r="A47" s="25">
        <v>1110.04</v>
      </c>
      <c r="B47" s="2" t="s">
        <v>88</v>
      </c>
      <c r="C47" s="57">
        <v>10548.5</v>
      </c>
      <c r="D47" s="57">
        <v>7500</v>
      </c>
      <c r="E47" s="57">
        <v>6125</v>
      </c>
      <c r="F47" s="103"/>
      <c r="G47" s="6">
        <v>8000</v>
      </c>
      <c r="H47" s="6">
        <v>3063</v>
      </c>
      <c r="I47" s="103"/>
      <c r="J47" s="57">
        <v>8000</v>
      </c>
      <c r="K47" s="106">
        <v>3675</v>
      </c>
      <c r="L47" s="106">
        <f t="shared" si="2"/>
        <v>6300</v>
      </c>
      <c r="M47" s="103"/>
      <c r="N47" s="94">
        <v>8000</v>
      </c>
      <c r="P47" s="94">
        <f t="shared" si="3"/>
        <v>1700</v>
      </c>
    </row>
    <row r="48" spans="1:17" x14ac:dyDescent="0.3">
      <c r="A48" s="25">
        <v>1110.0409999999999</v>
      </c>
      <c r="B48" s="2" t="s">
        <v>23</v>
      </c>
      <c r="C48" s="57">
        <v>430.3</v>
      </c>
      <c r="D48" s="57">
        <v>125</v>
      </c>
      <c r="E48" s="57">
        <v>77</v>
      </c>
      <c r="F48" s="103"/>
      <c r="G48" s="6">
        <v>125</v>
      </c>
      <c r="H48" s="6">
        <v>902</v>
      </c>
      <c r="I48" s="103"/>
      <c r="J48" s="57">
        <v>125</v>
      </c>
      <c r="K48" s="106">
        <v>89</v>
      </c>
      <c r="L48" s="106">
        <f t="shared" si="2"/>
        <v>152.57142857142856</v>
      </c>
      <c r="M48" s="103"/>
      <c r="N48" s="94">
        <v>125</v>
      </c>
      <c r="P48" s="94">
        <f t="shared" si="3"/>
        <v>-27.571428571428555</v>
      </c>
    </row>
    <row r="49" spans="1:17" x14ac:dyDescent="0.3">
      <c r="A49" s="25">
        <v>1110.0440000000001</v>
      </c>
      <c r="B49" s="2" t="s">
        <v>24</v>
      </c>
      <c r="C49" s="57">
        <v>183.4</v>
      </c>
      <c r="D49" s="57">
        <v>0</v>
      </c>
      <c r="E49" s="57">
        <v>418</v>
      </c>
      <c r="F49" s="103"/>
      <c r="G49" s="6">
        <v>300</v>
      </c>
      <c r="H49" s="6">
        <v>359</v>
      </c>
      <c r="I49" s="103"/>
      <c r="J49" s="57">
        <v>300</v>
      </c>
      <c r="K49" s="106">
        <v>0</v>
      </c>
      <c r="L49" s="106">
        <f t="shared" si="2"/>
        <v>0</v>
      </c>
      <c r="M49" s="103"/>
      <c r="N49" s="94">
        <v>300</v>
      </c>
      <c r="P49" s="94">
        <f t="shared" si="3"/>
        <v>300</v>
      </c>
    </row>
    <row r="50" spans="1:17" x14ac:dyDescent="0.3">
      <c r="A50" s="25">
        <v>1110.0450000000001</v>
      </c>
      <c r="B50" s="2" t="s">
        <v>99</v>
      </c>
      <c r="C50" s="57">
        <v>3857.5</v>
      </c>
      <c r="D50" s="57">
        <v>3500</v>
      </c>
      <c r="E50" s="57">
        <v>3113</v>
      </c>
      <c r="F50" s="103"/>
      <c r="G50" s="6">
        <v>3500</v>
      </c>
      <c r="H50" s="6">
        <v>1688</v>
      </c>
      <c r="I50" s="103"/>
      <c r="J50" s="57">
        <v>3500</v>
      </c>
      <c r="K50" s="106">
        <v>1575</v>
      </c>
      <c r="L50" s="106">
        <f t="shared" si="2"/>
        <v>2700</v>
      </c>
      <c r="M50" s="103"/>
      <c r="N50" s="94">
        <v>3500</v>
      </c>
      <c r="P50" s="94">
        <f t="shared" si="3"/>
        <v>800</v>
      </c>
    </row>
    <row r="51" spans="1:17" x14ac:dyDescent="0.3">
      <c r="A51" s="25">
        <v>1110.0451</v>
      </c>
      <c r="B51" s="2" t="s">
        <v>25</v>
      </c>
      <c r="C51" s="57">
        <v>200</v>
      </c>
      <c r="D51" s="57">
        <v>150</v>
      </c>
      <c r="E51" s="57">
        <v>200</v>
      </c>
      <c r="F51" s="103"/>
      <c r="G51" s="6">
        <v>150</v>
      </c>
      <c r="H51" s="6">
        <v>0</v>
      </c>
      <c r="I51" s="103"/>
      <c r="J51" s="57">
        <v>150</v>
      </c>
      <c r="K51" s="106">
        <v>0</v>
      </c>
      <c r="L51" s="106">
        <f t="shared" si="2"/>
        <v>0</v>
      </c>
      <c r="M51" s="103"/>
      <c r="N51" s="94">
        <v>150</v>
      </c>
      <c r="P51" s="94">
        <f t="shared" si="3"/>
        <v>150</v>
      </c>
    </row>
    <row r="52" spans="1:17" hidden="1" x14ac:dyDescent="0.3">
      <c r="A52" s="25">
        <v>1110.046</v>
      </c>
      <c r="B52" s="2" t="s">
        <v>26</v>
      </c>
      <c r="C52" s="57"/>
      <c r="D52" s="57">
        <v>0</v>
      </c>
      <c r="E52" s="57">
        <v>0</v>
      </c>
      <c r="F52" s="103"/>
      <c r="G52" s="6">
        <v>0</v>
      </c>
      <c r="H52" s="6">
        <v>0</v>
      </c>
      <c r="I52" s="103"/>
      <c r="J52" s="57">
        <v>0</v>
      </c>
      <c r="K52" s="106">
        <v>0</v>
      </c>
      <c r="L52" s="106">
        <f t="shared" si="2"/>
        <v>0</v>
      </c>
      <c r="M52" s="103"/>
      <c r="N52" s="94">
        <v>0</v>
      </c>
      <c r="P52" s="94">
        <f t="shared" si="3"/>
        <v>0</v>
      </c>
    </row>
    <row r="53" spans="1:17" x14ac:dyDescent="0.3">
      <c r="A53" s="25">
        <v>1110.047</v>
      </c>
      <c r="B53" s="2" t="s">
        <v>27</v>
      </c>
      <c r="C53" s="57">
        <v>780</v>
      </c>
      <c r="D53" s="57">
        <v>750</v>
      </c>
      <c r="E53" s="57">
        <v>530</v>
      </c>
      <c r="F53" s="103"/>
      <c r="G53" s="6">
        <v>1500</v>
      </c>
      <c r="H53" s="6">
        <v>150</v>
      </c>
      <c r="I53" s="103"/>
      <c r="J53" s="57">
        <v>750</v>
      </c>
      <c r="K53" s="106">
        <v>200</v>
      </c>
      <c r="L53" s="106">
        <f t="shared" si="2"/>
        <v>342.85714285714289</v>
      </c>
      <c r="M53" s="103"/>
      <c r="N53" s="94">
        <v>750</v>
      </c>
      <c r="P53" s="94">
        <f t="shared" si="3"/>
        <v>407.14285714285711</v>
      </c>
    </row>
    <row r="54" spans="1:17" x14ac:dyDescent="0.3">
      <c r="A54" s="25">
        <v>1320.0450000000001</v>
      </c>
      <c r="B54" s="2" t="s">
        <v>28</v>
      </c>
      <c r="C54" s="57">
        <v>18111.5</v>
      </c>
      <c r="D54" s="57">
        <v>23000</v>
      </c>
      <c r="E54" s="57">
        <v>15950</v>
      </c>
      <c r="F54" s="103"/>
      <c r="G54" s="6">
        <v>23000</v>
      </c>
      <c r="H54" s="6">
        <v>14000</v>
      </c>
      <c r="I54" s="103"/>
      <c r="J54" s="57">
        <v>23000</v>
      </c>
      <c r="K54" s="106">
        <v>21601</v>
      </c>
      <c r="L54" s="106">
        <v>23000</v>
      </c>
      <c r="M54" s="103"/>
      <c r="N54" s="94">
        <v>23000</v>
      </c>
      <c r="P54" s="94">
        <f t="shared" si="3"/>
        <v>0</v>
      </c>
    </row>
    <row r="55" spans="1:17" x14ac:dyDescent="0.3">
      <c r="A55" s="25">
        <v>1325.0101</v>
      </c>
      <c r="B55" s="2" t="s">
        <v>29</v>
      </c>
      <c r="C55" s="57">
        <v>62215.6</v>
      </c>
      <c r="D55" s="57">
        <v>72500</v>
      </c>
      <c r="E55" s="57">
        <v>72550</v>
      </c>
      <c r="F55" s="103"/>
      <c r="G55" s="6">
        <v>74675</v>
      </c>
      <c r="H55" s="6">
        <v>79856</v>
      </c>
      <c r="I55" s="103"/>
      <c r="J55" s="57">
        <f>ROUND(G55*1.05,0)</f>
        <v>78409</v>
      </c>
      <c r="K55" s="106">
        <v>48252</v>
      </c>
      <c r="L55" s="106">
        <v>78409</v>
      </c>
      <c r="M55" s="103"/>
      <c r="N55" s="94">
        <v>84681</v>
      </c>
      <c r="P55" s="94">
        <f t="shared" si="3"/>
        <v>6272</v>
      </c>
      <c r="Q55" s="77" t="s">
        <v>240</v>
      </c>
    </row>
    <row r="56" spans="1:17" x14ac:dyDescent="0.3">
      <c r="A56" s="25">
        <v>1325.0101999999999</v>
      </c>
      <c r="B56" s="2" t="s">
        <v>30</v>
      </c>
      <c r="C56" s="57">
        <v>57813.93</v>
      </c>
      <c r="D56" s="57">
        <v>60000</v>
      </c>
      <c r="E56" s="57">
        <v>60542</v>
      </c>
      <c r="F56" s="103"/>
      <c r="G56" s="6">
        <f>D56*103%</f>
        <v>61800</v>
      </c>
      <c r="H56" s="6">
        <v>55401</v>
      </c>
      <c r="I56" s="103"/>
      <c r="J56" s="57">
        <f>ROUND(G56*1.03,0)</f>
        <v>63654</v>
      </c>
      <c r="K56" s="106">
        <v>39172</v>
      </c>
      <c r="L56" s="106">
        <v>63654</v>
      </c>
      <c r="M56" s="103"/>
      <c r="N56" s="94">
        <v>68746</v>
      </c>
      <c r="P56" s="94">
        <f t="shared" si="3"/>
        <v>5092</v>
      </c>
      <c r="Q56" s="113" t="s">
        <v>240</v>
      </c>
    </row>
    <row r="57" spans="1:17" x14ac:dyDescent="0.3">
      <c r="A57" s="25">
        <v>1325.0409999999999</v>
      </c>
      <c r="B57" s="2" t="s">
        <v>31</v>
      </c>
      <c r="C57" s="57">
        <v>10052.09</v>
      </c>
      <c r="D57" s="57">
        <v>6500</v>
      </c>
      <c r="E57" s="57">
        <v>10326</v>
      </c>
      <c r="F57" s="103"/>
      <c r="G57" s="6">
        <v>5000</v>
      </c>
      <c r="H57" s="6">
        <v>11564</v>
      </c>
      <c r="I57" s="103"/>
      <c r="J57" s="57">
        <v>5000</v>
      </c>
      <c r="K57" s="106">
        <v>8561</v>
      </c>
      <c r="L57" s="106">
        <f t="shared" si="2"/>
        <v>14676</v>
      </c>
      <c r="M57" s="103"/>
      <c r="N57" s="94">
        <v>5000</v>
      </c>
      <c r="P57" s="94">
        <f t="shared" si="3"/>
        <v>-9676</v>
      </c>
    </row>
    <row r="58" spans="1:17" x14ac:dyDescent="0.3">
      <c r="A58" s="25">
        <v>1325.0441000000001</v>
      </c>
      <c r="B58" s="2" t="s">
        <v>32</v>
      </c>
      <c r="C58" s="57">
        <v>523.79999999999995</v>
      </c>
      <c r="D58" s="57">
        <v>250</v>
      </c>
      <c r="E58" s="57">
        <v>837</v>
      </c>
      <c r="F58" s="103"/>
      <c r="G58" s="6">
        <v>2000</v>
      </c>
      <c r="H58" s="6">
        <v>1086</v>
      </c>
      <c r="I58" s="103"/>
      <c r="J58" s="57">
        <v>1000</v>
      </c>
      <c r="K58" s="106">
        <v>701</v>
      </c>
      <c r="L58" s="106">
        <f t="shared" si="2"/>
        <v>1201.7142857142858</v>
      </c>
      <c r="M58" s="103"/>
      <c r="N58" s="94">
        <v>1000</v>
      </c>
      <c r="P58" s="94">
        <f t="shared" si="3"/>
        <v>-201.71428571428578</v>
      </c>
    </row>
    <row r="59" spans="1:17" x14ac:dyDescent="0.3">
      <c r="A59" s="25">
        <v>1325.0442</v>
      </c>
      <c r="B59" s="2" t="s">
        <v>33</v>
      </c>
      <c r="C59" s="57">
        <v>883.45</v>
      </c>
      <c r="D59" s="57">
        <v>1100</v>
      </c>
      <c r="E59" s="57">
        <v>1031</v>
      </c>
      <c r="F59" s="103"/>
      <c r="G59" s="6">
        <v>1500</v>
      </c>
      <c r="H59" s="6">
        <v>1799</v>
      </c>
      <c r="I59" s="103"/>
      <c r="J59" s="57">
        <v>1100</v>
      </c>
      <c r="K59" s="106">
        <v>295</v>
      </c>
      <c r="L59" s="106">
        <f t="shared" si="2"/>
        <v>505.71428571428578</v>
      </c>
      <c r="M59" s="103"/>
      <c r="N59" s="94">
        <v>1500</v>
      </c>
      <c r="P59" s="94">
        <f t="shared" si="3"/>
        <v>994.28571428571422</v>
      </c>
    </row>
    <row r="60" spans="1:17" x14ac:dyDescent="0.3">
      <c r="A60" s="26">
        <v>1325.0450000000001</v>
      </c>
      <c r="B60" s="27" t="s">
        <v>34</v>
      </c>
      <c r="C60" s="57">
        <v>6800.01</v>
      </c>
      <c r="D60" s="57">
        <v>6000</v>
      </c>
      <c r="E60" s="57">
        <v>8153</v>
      </c>
      <c r="F60" s="103"/>
      <c r="G60" s="6">
        <v>9000</v>
      </c>
      <c r="H60" s="6">
        <v>16051</v>
      </c>
      <c r="I60" s="103"/>
      <c r="J60" s="57">
        <v>9500</v>
      </c>
      <c r="K60" s="106">
        <v>27615</v>
      </c>
      <c r="L60" s="106">
        <f t="shared" si="2"/>
        <v>47340</v>
      </c>
      <c r="M60" s="103"/>
      <c r="N60" s="94">
        <v>9000</v>
      </c>
      <c r="P60" s="94">
        <f t="shared" si="3"/>
        <v>-38340</v>
      </c>
      <c r="Q60" s="77" t="s">
        <v>237</v>
      </c>
    </row>
    <row r="61" spans="1:17" x14ac:dyDescent="0.3">
      <c r="A61" s="25">
        <v>1325.0451</v>
      </c>
      <c r="B61" s="2" t="s">
        <v>108</v>
      </c>
      <c r="C61" s="57">
        <v>11875</v>
      </c>
      <c r="D61" s="57">
        <v>10500</v>
      </c>
      <c r="E61" s="57">
        <v>9137</v>
      </c>
      <c r="F61" s="103"/>
      <c r="G61" s="6">
        <v>15000</v>
      </c>
      <c r="H61" s="6">
        <v>13363</v>
      </c>
      <c r="I61" s="103"/>
      <c r="J61" s="57">
        <v>15000</v>
      </c>
      <c r="K61" s="106">
        <v>15351</v>
      </c>
      <c r="L61" s="106">
        <v>16000</v>
      </c>
      <c r="M61" s="103"/>
      <c r="N61" s="94">
        <v>16000</v>
      </c>
      <c r="P61" s="94">
        <f t="shared" si="3"/>
        <v>0</v>
      </c>
    </row>
    <row r="62" spans="1:17" x14ac:dyDescent="0.3">
      <c r="A62" s="25">
        <v>1325.046</v>
      </c>
      <c r="B62" s="2" t="s">
        <v>35</v>
      </c>
      <c r="C62" s="57">
        <v>922.18</v>
      </c>
      <c r="D62" s="57">
        <v>750</v>
      </c>
      <c r="E62" s="57">
        <v>1400</v>
      </c>
      <c r="F62" s="103"/>
      <c r="G62" s="6">
        <v>1000</v>
      </c>
      <c r="H62" s="6">
        <v>1560</v>
      </c>
      <c r="I62" s="103"/>
      <c r="J62" s="57">
        <v>1300</v>
      </c>
      <c r="K62" s="106">
        <v>400</v>
      </c>
      <c r="L62" s="106">
        <f t="shared" si="2"/>
        <v>685.71428571428578</v>
      </c>
      <c r="M62" s="103"/>
      <c r="N62" s="94">
        <v>1000</v>
      </c>
      <c r="P62" s="94">
        <f t="shared" si="3"/>
        <v>314.28571428571422</v>
      </c>
    </row>
    <row r="63" spans="1:17" x14ac:dyDescent="0.3">
      <c r="A63" s="25">
        <v>1355.04</v>
      </c>
      <c r="B63" s="2" t="s">
        <v>36</v>
      </c>
      <c r="C63" s="57">
        <v>210.96</v>
      </c>
      <c r="D63" s="57">
        <v>150</v>
      </c>
      <c r="E63" s="57">
        <v>202</v>
      </c>
      <c r="F63" s="103"/>
      <c r="G63" s="6">
        <v>300</v>
      </c>
      <c r="H63" s="6">
        <v>123</v>
      </c>
      <c r="I63" s="103"/>
      <c r="J63" s="57">
        <v>300</v>
      </c>
      <c r="K63" s="106">
        <v>0</v>
      </c>
      <c r="L63" s="106">
        <f t="shared" si="2"/>
        <v>0</v>
      </c>
      <c r="M63" s="103"/>
      <c r="N63" s="94">
        <v>300</v>
      </c>
      <c r="P63" s="94">
        <f t="shared" si="3"/>
        <v>300</v>
      </c>
    </row>
    <row r="64" spans="1:17" x14ac:dyDescent="0.3">
      <c r="A64" s="25">
        <v>1420.0451</v>
      </c>
      <c r="B64" s="2" t="s">
        <v>37</v>
      </c>
      <c r="C64" s="57">
        <v>56585</v>
      </c>
      <c r="D64" s="57">
        <v>40000</v>
      </c>
      <c r="E64" s="57">
        <v>50657</v>
      </c>
      <c r="F64" s="103"/>
      <c r="G64" s="6">
        <v>40000</v>
      </c>
      <c r="H64" s="6">
        <v>30609</v>
      </c>
      <c r="I64" s="103"/>
      <c r="J64" s="57">
        <v>35000</v>
      </c>
      <c r="K64" s="106">
        <v>17726</v>
      </c>
      <c r="L64" s="106">
        <f t="shared" si="2"/>
        <v>30387.428571428572</v>
      </c>
      <c r="M64" s="103"/>
      <c r="N64" s="94">
        <v>35000</v>
      </c>
      <c r="P64" s="94">
        <f t="shared" si="3"/>
        <v>4612.5714285714275</v>
      </c>
    </row>
    <row r="65" spans="1:16" x14ac:dyDescent="0.3">
      <c r="A65" s="25">
        <v>1420.0452</v>
      </c>
      <c r="B65" s="64" t="s">
        <v>114</v>
      </c>
      <c r="C65" s="57">
        <v>0</v>
      </c>
      <c r="D65" s="57">
        <v>0</v>
      </c>
      <c r="E65" s="57">
        <v>0</v>
      </c>
      <c r="F65" s="103"/>
      <c r="G65" s="6">
        <v>20000</v>
      </c>
      <c r="H65" s="6">
        <v>0</v>
      </c>
      <c r="I65" s="103"/>
      <c r="J65" s="57">
        <v>0</v>
      </c>
      <c r="K65" s="106">
        <v>0</v>
      </c>
      <c r="L65" s="106">
        <f t="shared" si="2"/>
        <v>0</v>
      </c>
      <c r="M65" s="103"/>
      <c r="N65" s="94">
        <v>0</v>
      </c>
      <c r="P65" s="94">
        <f t="shared" si="3"/>
        <v>0</v>
      </c>
    </row>
    <row r="66" spans="1:16" x14ac:dyDescent="0.3">
      <c r="A66" s="25">
        <v>1430.04</v>
      </c>
      <c r="B66" s="64" t="s">
        <v>38</v>
      </c>
      <c r="C66" s="57">
        <v>0</v>
      </c>
      <c r="D66" s="57">
        <v>0</v>
      </c>
      <c r="E66" s="57">
        <v>0</v>
      </c>
      <c r="F66" s="103"/>
      <c r="G66" s="6">
        <v>2500</v>
      </c>
      <c r="H66" s="6">
        <v>0</v>
      </c>
      <c r="I66" s="103"/>
      <c r="J66" s="57">
        <v>0</v>
      </c>
      <c r="K66" s="106">
        <v>0</v>
      </c>
      <c r="L66" s="106">
        <f t="shared" si="2"/>
        <v>0</v>
      </c>
      <c r="M66" s="103"/>
      <c r="N66" s="94">
        <v>2500</v>
      </c>
      <c r="P66" s="94">
        <f t="shared" si="3"/>
        <v>2500</v>
      </c>
    </row>
    <row r="67" spans="1:16" x14ac:dyDescent="0.3">
      <c r="A67" s="25">
        <v>1440.04</v>
      </c>
      <c r="B67" s="64" t="s">
        <v>39</v>
      </c>
      <c r="C67" s="57">
        <v>42300</v>
      </c>
      <c r="D67" s="57">
        <v>15000</v>
      </c>
      <c r="E67" s="57">
        <v>24220</v>
      </c>
      <c r="F67" s="103"/>
      <c r="G67" s="6">
        <v>5000</v>
      </c>
      <c r="H67" s="6">
        <v>26280</v>
      </c>
      <c r="I67" s="103"/>
      <c r="J67" s="57">
        <v>15000</v>
      </c>
      <c r="K67" s="106">
        <v>12160</v>
      </c>
      <c r="L67" s="106">
        <v>15000</v>
      </c>
      <c r="M67" s="103"/>
      <c r="N67" s="94">
        <v>15000</v>
      </c>
      <c r="P67" s="94">
        <f t="shared" si="3"/>
        <v>0</v>
      </c>
    </row>
    <row r="68" spans="1:16" x14ac:dyDescent="0.3">
      <c r="A68" s="25">
        <v>1441.04</v>
      </c>
      <c r="B68" s="64" t="s">
        <v>106</v>
      </c>
      <c r="C68" s="57">
        <v>12500</v>
      </c>
      <c r="D68" s="57">
        <v>10500</v>
      </c>
      <c r="E68" s="57">
        <v>9000</v>
      </c>
      <c r="F68" s="103"/>
      <c r="G68" s="6">
        <v>12000</v>
      </c>
      <c r="H68" s="6">
        <v>10500</v>
      </c>
      <c r="I68" s="103"/>
      <c r="J68" s="57">
        <v>12000</v>
      </c>
      <c r="K68" s="106">
        <v>0</v>
      </c>
      <c r="L68" s="106">
        <v>0</v>
      </c>
      <c r="M68" s="103"/>
      <c r="N68" s="94">
        <v>12000</v>
      </c>
      <c r="P68" s="94">
        <f t="shared" si="3"/>
        <v>12000</v>
      </c>
    </row>
    <row r="69" spans="1:16" x14ac:dyDescent="0.3">
      <c r="A69" s="25">
        <v>1450.0409999999999</v>
      </c>
      <c r="B69" s="64" t="s">
        <v>40</v>
      </c>
      <c r="C69" s="57">
        <v>0</v>
      </c>
      <c r="D69" s="57">
        <v>0</v>
      </c>
      <c r="E69" s="57">
        <v>0</v>
      </c>
      <c r="F69" s="103"/>
      <c r="G69" s="6">
        <v>100</v>
      </c>
      <c r="H69" s="6">
        <v>0</v>
      </c>
      <c r="I69" s="103"/>
      <c r="J69" s="57">
        <v>100</v>
      </c>
      <c r="K69" s="106">
        <v>0</v>
      </c>
      <c r="L69" s="106">
        <f t="shared" si="2"/>
        <v>0</v>
      </c>
      <c r="M69" s="103"/>
      <c r="N69" s="94">
        <v>100</v>
      </c>
      <c r="P69" s="94">
        <f t="shared" si="3"/>
        <v>100</v>
      </c>
    </row>
    <row r="70" spans="1:16" x14ac:dyDescent="0.3">
      <c r="A70" s="25">
        <v>1450.0440000000001</v>
      </c>
      <c r="B70" s="64" t="s">
        <v>41</v>
      </c>
      <c r="C70" s="57">
        <v>850</v>
      </c>
      <c r="D70" s="57">
        <v>525</v>
      </c>
      <c r="E70" s="57">
        <v>997</v>
      </c>
      <c r="F70" s="103"/>
      <c r="G70" s="6">
        <v>900</v>
      </c>
      <c r="H70" s="6">
        <v>1972</v>
      </c>
      <c r="I70" s="103"/>
      <c r="J70" s="57">
        <v>900</v>
      </c>
      <c r="K70" s="106">
        <v>0</v>
      </c>
      <c r="L70" s="106">
        <f t="shared" si="2"/>
        <v>0</v>
      </c>
      <c r="M70" s="103"/>
      <c r="N70" s="94">
        <v>900</v>
      </c>
      <c r="P70" s="94">
        <f t="shared" si="3"/>
        <v>900</v>
      </c>
    </row>
    <row r="71" spans="1:16" x14ac:dyDescent="0.3">
      <c r="A71" s="25">
        <v>1450.0450000000001</v>
      </c>
      <c r="B71" s="64" t="s">
        <v>42</v>
      </c>
      <c r="C71" s="57">
        <v>450</v>
      </c>
      <c r="D71" s="57">
        <v>0</v>
      </c>
      <c r="E71" s="57">
        <v>0</v>
      </c>
      <c r="F71" s="103"/>
      <c r="G71" s="6">
        <v>300</v>
      </c>
      <c r="H71" s="6">
        <v>700</v>
      </c>
      <c r="I71" s="103"/>
      <c r="J71" s="57">
        <v>400</v>
      </c>
      <c r="K71" s="106">
        <v>0</v>
      </c>
      <c r="L71" s="106">
        <f t="shared" si="2"/>
        <v>0</v>
      </c>
      <c r="M71" s="103"/>
      <c r="N71" s="94">
        <v>300</v>
      </c>
      <c r="P71" s="94">
        <f t="shared" si="3"/>
        <v>300</v>
      </c>
    </row>
    <row r="72" spans="1:16" x14ac:dyDescent="0.3">
      <c r="A72" s="25">
        <v>1620.021</v>
      </c>
      <c r="B72" s="64" t="s">
        <v>43</v>
      </c>
      <c r="C72" s="57">
        <v>24942.58</v>
      </c>
      <c r="D72" s="57">
        <v>0</v>
      </c>
      <c r="E72" s="57">
        <v>0</v>
      </c>
      <c r="F72" s="103"/>
      <c r="G72" s="6">
        <v>0</v>
      </c>
      <c r="H72" s="6">
        <v>3259</v>
      </c>
      <c r="I72" s="103"/>
      <c r="J72" s="57">
        <v>0</v>
      </c>
      <c r="K72" s="106">
        <v>1622</v>
      </c>
      <c r="L72" s="106">
        <f t="shared" si="2"/>
        <v>2780.5714285714284</v>
      </c>
      <c r="M72" s="103"/>
      <c r="N72" s="94">
        <v>0</v>
      </c>
      <c r="P72" s="94">
        <f t="shared" si="3"/>
        <v>-2780.5714285714284</v>
      </c>
    </row>
    <row r="73" spans="1:16" x14ac:dyDescent="0.3">
      <c r="A73" s="25">
        <v>1620.0219999999999</v>
      </c>
      <c r="B73" s="64" t="s">
        <v>44</v>
      </c>
      <c r="C73" s="57">
        <v>0</v>
      </c>
      <c r="D73" s="57">
        <v>0</v>
      </c>
      <c r="E73" s="57">
        <v>0</v>
      </c>
      <c r="F73" s="103"/>
      <c r="G73" s="6">
        <v>5000</v>
      </c>
      <c r="H73" s="6">
        <v>0</v>
      </c>
      <c r="I73" s="103"/>
      <c r="J73" s="57">
        <v>1000</v>
      </c>
      <c r="K73" s="106">
        <v>0</v>
      </c>
      <c r="L73" s="106">
        <f t="shared" si="2"/>
        <v>0</v>
      </c>
      <c r="M73" s="103"/>
      <c r="N73" s="94">
        <v>1000</v>
      </c>
      <c r="P73" s="94">
        <f t="shared" si="3"/>
        <v>1000</v>
      </c>
    </row>
    <row r="74" spans="1:16" x14ac:dyDescent="0.3">
      <c r="A74" s="25">
        <v>1620.0409999999999</v>
      </c>
      <c r="B74" s="64" t="s">
        <v>45</v>
      </c>
      <c r="C74" s="57">
        <v>199</v>
      </c>
      <c r="D74" s="57">
        <v>250</v>
      </c>
      <c r="E74" s="57">
        <v>169</v>
      </c>
      <c r="F74" s="103"/>
      <c r="G74" s="6">
        <v>500</v>
      </c>
      <c r="H74" s="6">
        <v>364</v>
      </c>
      <c r="I74" s="103"/>
      <c r="J74" s="57">
        <v>500</v>
      </c>
      <c r="K74" s="106">
        <v>169</v>
      </c>
      <c r="L74" s="106">
        <f t="shared" si="2"/>
        <v>289.71428571428572</v>
      </c>
      <c r="M74" s="103"/>
      <c r="N74" s="94">
        <v>500</v>
      </c>
      <c r="P74" s="94">
        <f t="shared" si="3"/>
        <v>210.28571428571428</v>
      </c>
    </row>
    <row r="75" spans="1:16" x14ac:dyDescent="0.3">
      <c r="A75" s="25">
        <v>1620.0419999999999</v>
      </c>
      <c r="B75" s="64" t="s">
        <v>46</v>
      </c>
      <c r="C75" s="57">
        <v>8133.9</v>
      </c>
      <c r="D75" s="57">
        <v>7500</v>
      </c>
      <c r="E75" s="57">
        <v>7244</v>
      </c>
      <c r="F75" s="103"/>
      <c r="G75" s="6">
        <v>10000</v>
      </c>
      <c r="H75" s="6">
        <v>7024</v>
      </c>
      <c r="I75" s="103"/>
      <c r="J75" s="57">
        <v>8000</v>
      </c>
      <c r="K75" s="106">
        <v>2729</v>
      </c>
      <c r="L75" s="106">
        <f t="shared" si="2"/>
        <v>4678.2857142857138</v>
      </c>
      <c r="M75" s="103"/>
      <c r="N75" s="94">
        <v>5000</v>
      </c>
      <c r="P75" s="94">
        <f t="shared" si="3"/>
        <v>321.71428571428623</v>
      </c>
    </row>
    <row r="76" spans="1:16" x14ac:dyDescent="0.3">
      <c r="A76" s="25">
        <v>1620.0440000000001</v>
      </c>
      <c r="B76" s="64" t="s">
        <v>47</v>
      </c>
      <c r="C76" s="57">
        <v>4276.84</v>
      </c>
      <c r="D76" s="57">
        <v>4000</v>
      </c>
      <c r="E76" s="57">
        <v>4304</v>
      </c>
      <c r="F76" s="103"/>
      <c r="G76" s="6">
        <v>5000</v>
      </c>
      <c r="H76" s="6">
        <v>2977</v>
      </c>
      <c r="I76" s="103"/>
      <c r="J76" s="57">
        <v>5000</v>
      </c>
      <c r="K76" s="106">
        <v>2484</v>
      </c>
      <c r="L76" s="106">
        <f t="shared" si="2"/>
        <v>4258.2857142857138</v>
      </c>
      <c r="M76" s="103"/>
      <c r="N76" s="94">
        <v>5000</v>
      </c>
      <c r="P76" s="94">
        <f t="shared" si="3"/>
        <v>741.71428571428623</v>
      </c>
    </row>
    <row r="77" spans="1:16" x14ac:dyDescent="0.3">
      <c r="A77" s="25">
        <v>1620.0450000000001</v>
      </c>
      <c r="B77" s="64" t="s">
        <v>138</v>
      </c>
      <c r="C77" s="57">
        <v>10041.56</v>
      </c>
      <c r="D77" s="57">
        <v>6500</v>
      </c>
      <c r="E77" s="57">
        <v>8741</v>
      </c>
      <c r="F77" s="103"/>
      <c r="G77" s="6">
        <v>7800</v>
      </c>
      <c r="H77" s="6">
        <v>4740</v>
      </c>
      <c r="I77" s="103"/>
      <c r="J77" s="57">
        <v>7800</v>
      </c>
      <c r="K77" s="106">
        <v>4055</v>
      </c>
      <c r="L77" s="106">
        <f t="shared" si="2"/>
        <v>6951.4285714285725</v>
      </c>
      <c r="M77" s="103"/>
      <c r="N77" s="94">
        <v>7800</v>
      </c>
      <c r="P77" s="94">
        <f t="shared" si="3"/>
        <v>848.57142857142753</v>
      </c>
    </row>
    <row r="78" spans="1:16" x14ac:dyDescent="0.3">
      <c r="A78" s="25">
        <v>1910.04</v>
      </c>
      <c r="B78" s="64" t="s">
        <v>48</v>
      </c>
      <c r="C78" s="57">
        <v>38938.410000000003</v>
      </c>
      <c r="D78" s="57">
        <v>40000</v>
      </c>
      <c r="E78" s="57">
        <v>39691</v>
      </c>
      <c r="F78" s="103"/>
      <c r="G78" s="6">
        <v>39000</v>
      </c>
      <c r="H78" s="6">
        <v>41652</v>
      </c>
      <c r="I78" s="103"/>
      <c r="J78" s="57">
        <v>42000</v>
      </c>
      <c r="K78" s="106">
        <v>41445</v>
      </c>
      <c r="L78" s="106">
        <v>42000</v>
      </c>
      <c r="M78" s="103"/>
      <c r="N78" s="94">
        <v>42000</v>
      </c>
      <c r="P78" s="94">
        <f t="shared" si="3"/>
        <v>0</v>
      </c>
    </row>
    <row r="79" spans="1:16" x14ac:dyDescent="0.3">
      <c r="A79" s="25">
        <v>1920.04</v>
      </c>
      <c r="B79" s="64" t="s">
        <v>230</v>
      </c>
      <c r="C79" s="57">
        <v>8168</v>
      </c>
      <c r="D79" s="57">
        <v>6000</v>
      </c>
      <c r="E79" s="57">
        <v>2713</v>
      </c>
      <c r="F79" s="103"/>
      <c r="G79" s="6">
        <v>6000</v>
      </c>
      <c r="H79" s="6">
        <v>6313</v>
      </c>
      <c r="I79" s="103"/>
      <c r="J79" s="57">
        <v>4000</v>
      </c>
      <c r="K79" s="106">
        <v>75</v>
      </c>
      <c r="L79" s="106">
        <f t="shared" si="2"/>
        <v>128.57142857142856</v>
      </c>
      <c r="M79" s="103"/>
      <c r="N79" s="94">
        <v>4000</v>
      </c>
      <c r="P79" s="94">
        <f t="shared" si="3"/>
        <v>3871.4285714285716</v>
      </c>
    </row>
    <row r="80" spans="1:16" x14ac:dyDescent="0.3">
      <c r="A80" s="25">
        <v>1950.04</v>
      </c>
      <c r="B80" s="64" t="s">
        <v>50</v>
      </c>
      <c r="C80" s="57">
        <v>0</v>
      </c>
      <c r="D80" s="57">
        <v>0</v>
      </c>
      <c r="E80" s="57">
        <v>0</v>
      </c>
      <c r="F80" s="103"/>
      <c r="G80" s="6">
        <v>10000</v>
      </c>
      <c r="H80" s="6">
        <v>0</v>
      </c>
      <c r="I80" s="103"/>
      <c r="J80" s="57">
        <v>10000</v>
      </c>
      <c r="K80" s="106">
        <v>0</v>
      </c>
      <c r="L80" s="106">
        <f t="shared" si="2"/>
        <v>0</v>
      </c>
      <c r="M80" s="103"/>
      <c r="N80" s="94">
        <v>0</v>
      </c>
      <c r="P80" s="94">
        <f t="shared" si="3"/>
        <v>0</v>
      </c>
    </row>
    <row r="81" spans="1:17" x14ac:dyDescent="0.3">
      <c r="A81" s="25">
        <v>3310.0410000000002</v>
      </c>
      <c r="B81" s="64" t="s">
        <v>52</v>
      </c>
      <c r="C81" s="57">
        <v>0</v>
      </c>
      <c r="D81" s="57">
        <v>0</v>
      </c>
      <c r="E81" s="57">
        <v>0</v>
      </c>
      <c r="F81" s="103"/>
      <c r="G81" s="6">
        <v>2000</v>
      </c>
      <c r="H81" s="6">
        <v>610</v>
      </c>
      <c r="I81" s="103"/>
      <c r="J81" s="57">
        <v>1000</v>
      </c>
      <c r="K81" s="106">
        <v>0</v>
      </c>
      <c r="L81" s="106">
        <f t="shared" si="2"/>
        <v>0</v>
      </c>
      <c r="M81" s="103"/>
      <c r="N81" s="94">
        <v>500</v>
      </c>
      <c r="P81" s="94">
        <f t="shared" si="3"/>
        <v>500</v>
      </c>
    </row>
    <row r="82" spans="1:17" x14ac:dyDescent="0.3">
      <c r="A82" s="25">
        <v>3310.0439999999999</v>
      </c>
      <c r="B82" s="64" t="s">
        <v>53</v>
      </c>
      <c r="C82" s="57">
        <v>1775</v>
      </c>
      <c r="D82" s="57">
        <v>1500</v>
      </c>
      <c r="E82" s="57">
        <v>1740</v>
      </c>
      <c r="F82" s="103"/>
      <c r="G82" s="6">
        <v>0</v>
      </c>
      <c r="H82" s="6">
        <v>0</v>
      </c>
      <c r="I82" s="103"/>
      <c r="J82" s="57">
        <v>0</v>
      </c>
      <c r="K82" s="106">
        <v>0</v>
      </c>
      <c r="L82" s="106">
        <f t="shared" si="2"/>
        <v>0</v>
      </c>
      <c r="M82" s="103"/>
      <c r="N82" s="94">
        <v>2000</v>
      </c>
      <c r="P82" s="94">
        <f t="shared" si="3"/>
        <v>2000</v>
      </c>
    </row>
    <row r="83" spans="1:17" x14ac:dyDescent="0.3">
      <c r="A83" s="25">
        <v>3620.01</v>
      </c>
      <c r="B83" s="64" t="s">
        <v>54</v>
      </c>
      <c r="C83" s="57">
        <v>43890.28</v>
      </c>
      <c r="D83" s="57">
        <v>45000</v>
      </c>
      <c r="E83" s="57">
        <v>43892</v>
      </c>
      <c r="F83" s="103"/>
      <c r="G83" s="6">
        <v>45900</v>
      </c>
      <c r="H83" s="6">
        <v>46383</v>
      </c>
      <c r="I83" s="103"/>
      <c r="J83" s="57">
        <f>ROUND(G83*1.03,0)</f>
        <v>47277</v>
      </c>
      <c r="K83" s="106">
        <v>29179</v>
      </c>
      <c r="L83" s="106">
        <v>47277</v>
      </c>
      <c r="M83" s="103"/>
      <c r="N83" s="94">
        <v>47300</v>
      </c>
      <c r="P83" s="94">
        <f t="shared" si="3"/>
        <v>23</v>
      </c>
    </row>
    <row r="84" spans="1:17" x14ac:dyDescent="0.3">
      <c r="A84" s="25">
        <v>3620.0439999999999</v>
      </c>
      <c r="B84" s="64" t="s">
        <v>55</v>
      </c>
      <c r="C84" s="57">
        <v>99.49</v>
      </c>
      <c r="D84" s="57">
        <v>150</v>
      </c>
      <c r="E84" s="57">
        <v>400</v>
      </c>
      <c r="F84" s="103"/>
      <c r="G84" s="6">
        <v>2600</v>
      </c>
      <c r="H84" s="6">
        <v>1065</v>
      </c>
      <c r="I84" s="103"/>
      <c r="J84" s="57">
        <v>2600</v>
      </c>
      <c r="K84" s="106">
        <v>0</v>
      </c>
      <c r="L84" s="106">
        <v>2600</v>
      </c>
      <c r="M84" s="103"/>
      <c r="N84" s="94">
        <v>2600</v>
      </c>
      <c r="P84" s="94">
        <f t="shared" si="3"/>
        <v>0</v>
      </c>
    </row>
    <row r="85" spans="1:17" x14ac:dyDescent="0.3">
      <c r="A85" s="25">
        <v>3620.0450000000001</v>
      </c>
      <c r="B85" s="64" t="s">
        <v>115</v>
      </c>
      <c r="C85" s="57">
        <v>4262.3</v>
      </c>
      <c r="D85" s="57">
        <v>5000</v>
      </c>
      <c r="E85" s="57">
        <v>0</v>
      </c>
      <c r="F85" s="103"/>
      <c r="G85" s="6">
        <v>5000</v>
      </c>
      <c r="H85" s="6">
        <v>0</v>
      </c>
      <c r="I85" s="103"/>
      <c r="J85" s="57">
        <v>5000</v>
      </c>
      <c r="K85" s="106">
        <v>0</v>
      </c>
      <c r="L85" s="106">
        <v>5000</v>
      </c>
      <c r="M85" s="103"/>
      <c r="N85" s="94">
        <v>5000</v>
      </c>
      <c r="P85" s="94">
        <f t="shared" si="3"/>
        <v>0</v>
      </c>
    </row>
    <row r="86" spans="1:17" x14ac:dyDescent="0.3">
      <c r="A86" s="25">
        <v>5110.01</v>
      </c>
      <c r="B86" s="64" t="s">
        <v>56</v>
      </c>
      <c r="C86" s="57">
        <v>127535.25</v>
      </c>
      <c r="D86" s="57">
        <v>128000</v>
      </c>
      <c r="E86" s="57">
        <v>124512</v>
      </c>
      <c r="F86" s="103"/>
      <c r="G86" s="6">
        <f>D86*103%</f>
        <v>131840</v>
      </c>
      <c r="H86" s="6">
        <v>133115</v>
      </c>
      <c r="I86" s="103"/>
      <c r="J86" s="57">
        <f>ROUND(G86*1.03,0)+7000</f>
        <v>142795</v>
      </c>
      <c r="K86" s="106">
        <v>87875</v>
      </c>
      <c r="L86" s="106">
        <v>142795</v>
      </c>
      <c r="M86" s="103"/>
      <c r="N86" s="94">
        <v>151363</v>
      </c>
      <c r="P86" s="94">
        <f t="shared" si="3"/>
        <v>8568</v>
      </c>
      <c r="Q86" s="77" t="s">
        <v>239</v>
      </c>
    </row>
    <row r="87" spans="1:17" x14ac:dyDescent="0.3">
      <c r="A87" s="25">
        <v>5110.0101000000004</v>
      </c>
      <c r="B87" s="64" t="s">
        <v>57</v>
      </c>
      <c r="C87" s="57">
        <v>8115.88</v>
      </c>
      <c r="D87" s="57">
        <v>5000</v>
      </c>
      <c r="E87" s="57">
        <v>2126</v>
      </c>
      <c r="F87" s="103"/>
      <c r="G87" s="6">
        <v>10000</v>
      </c>
      <c r="H87" s="6">
        <v>8674</v>
      </c>
      <c r="I87" s="103"/>
      <c r="J87" s="57">
        <f>ROUND(G87*1.03,0)</f>
        <v>10300</v>
      </c>
      <c r="K87" s="106">
        <v>1710</v>
      </c>
      <c r="L87" s="106">
        <v>10300</v>
      </c>
      <c r="M87" s="103"/>
      <c r="N87" s="94">
        <v>10000</v>
      </c>
      <c r="P87" s="94">
        <f t="shared" si="3"/>
        <v>-300</v>
      </c>
    </row>
    <row r="88" spans="1:17" x14ac:dyDescent="0.3">
      <c r="A88" s="25">
        <v>5110.0200000000004</v>
      </c>
      <c r="B88" s="64" t="s">
        <v>58</v>
      </c>
      <c r="C88" s="57">
        <v>5945</v>
      </c>
      <c r="D88" s="57">
        <v>6000</v>
      </c>
      <c r="E88" s="57">
        <v>0</v>
      </c>
      <c r="F88" s="103"/>
      <c r="G88" s="6">
        <v>0</v>
      </c>
      <c r="H88" s="6">
        <v>0</v>
      </c>
      <c r="I88" s="103"/>
      <c r="J88" s="57">
        <v>50000</v>
      </c>
      <c r="K88" s="106">
        <v>75574</v>
      </c>
      <c r="L88" s="106">
        <f t="shared" si="2"/>
        <v>129555.42857142857</v>
      </c>
      <c r="M88" s="103"/>
      <c r="N88" s="94">
        <v>0</v>
      </c>
      <c r="P88" s="94">
        <f t="shared" si="3"/>
        <v>-129555.42857142857</v>
      </c>
      <c r="Q88" s="77" t="s">
        <v>241</v>
      </c>
    </row>
    <row r="89" spans="1:17" x14ac:dyDescent="0.3">
      <c r="A89" s="25">
        <v>5110.0410000000002</v>
      </c>
      <c r="B89" s="64" t="s">
        <v>59</v>
      </c>
      <c r="C89" s="57">
        <v>9662.68</v>
      </c>
      <c r="D89" s="57">
        <v>7500</v>
      </c>
      <c r="E89" s="57">
        <v>5116</v>
      </c>
      <c r="F89" s="103"/>
      <c r="G89" s="6">
        <v>7500</v>
      </c>
      <c r="H89" s="6">
        <v>2093.1</v>
      </c>
      <c r="I89" s="103"/>
      <c r="J89" s="57">
        <v>5000</v>
      </c>
      <c r="K89" s="106">
        <v>7711</v>
      </c>
      <c r="L89" s="106">
        <f t="shared" si="2"/>
        <v>13218.857142857145</v>
      </c>
      <c r="M89" s="103"/>
      <c r="N89" s="94">
        <v>7500</v>
      </c>
      <c r="P89" s="94">
        <f t="shared" si="3"/>
        <v>-5718.8571428571449</v>
      </c>
    </row>
    <row r="90" spans="1:17" x14ac:dyDescent="0.3">
      <c r="A90" s="25">
        <v>5110.0411000000004</v>
      </c>
      <c r="B90" s="64" t="s">
        <v>60</v>
      </c>
      <c r="C90" s="57">
        <v>9085.35</v>
      </c>
      <c r="D90" s="57">
        <v>6000</v>
      </c>
      <c r="E90" s="57">
        <v>3399</v>
      </c>
      <c r="F90" s="103"/>
      <c r="G90" s="6">
        <v>5000</v>
      </c>
      <c r="H90" s="6">
        <v>4406</v>
      </c>
      <c r="I90" s="103"/>
      <c r="J90" s="57">
        <v>5000</v>
      </c>
      <c r="K90" s="106">
        <v>2289</v>
      </c>
      <c r="L90" s="106">
        <f t="shared" si="2"/>
        <v>3924</v>
      </c>
      <c r="M90" s="103"/>
      <c r="N90" s="94">
        <v>5000</v>
      </c>
      <c r="P90" s="94">
        <f t="shared" si="3"/>
        <v>1076</v>
      </c>
    </row>
    <row r="91" spans="1:17" x14ac:dyDescent="0.3">
      <c r="A91" s="25">
        <v>5110.0411999999997</v>
      </c>
      <c r="B91" s="64" t="s">
        <v>61</v>
      </c>
      <c r="C91" s="57">
        <v>26825.15</v>
      </c>
      <c r="D91" s="57">
        <v>1000</v>
      </c>
      <c r="E91" s="57">
        <v>16949</v>
      </c>
      <c r="F91" s="103"/>
      <c r="G91" s="6">
        <v>5000</v>
      </c>
      <c r="H91" s="6">
        <v>15035</v>
      </c>
      <c r="I91" s="103"/>
      <c r="J91" s="57">
        <v>10000</v>
      </c>
      <c r="K91" s="106">
        <v>2396</v>
      </c>
      <c r="L91" s="106">
        <f t="shared" si="2"/>
        <v>4107.4285714285716</v>
      </c>
      <c r="M91" s="103"/>
      <c r="N91" s="94">
        <v>0</v>
      </c>
      <c r="P91" s="94">
        <f t="shared" si="3"/>
        <v>-4107.4285714285716</v>
      </c>
    </row>
    <row r="92" spans="1:17" x14ac:dyDescent="0.3">
      <c r="A92" s="25">
        <v>5110.0439999999999</v>
      </c>
      <c r="B92" s="64" t="s">
        <v>101</v>
      </c>
      <c r="C92" s="57">
        <v>404919.66</v>
      </c>
      <c r="D92" s="57">
        <v>375000</v>
      </c>
      <c r="E92" s="57">
        <v>449709</v>
      </c>
      <c r="F92" s="103"/>
      <c r="G92" s="6">
        <v>190000</v>
      </c>
      <c r="H92" s="6">
        <v>56093</v>
      </c>
      <c r="I92" s="103"/>
      <c r="J92" s="57">
        <v>341678</v>
      </c>
      <c r="K92" s="106">
        <f>728230-193155</f>
        <v>535075</v>
      </c>
      <c r="L92" s="106">
        <v>535072</v>
      </c>
      <c r="M92" s="103"/>
      <c r="N92" s="94">
        <v>0</v>
      </c>
      <c r="P92" s="94">
        <f t="shared" si="3"/>
        <v>-535072</v>
      </c>
    </row>
    <row r="93" spans="1:17" hidden="1" x14ac:dyDescent="0.3">
      <c r="A93" s="25">
        <v>5110.0450000000001</v>
      </c>
      <c r="B93" s="64" t="s">
        <v>116</v>
      </c>
      <c r="C93" s="57">
        <v>2500</v>
      </c>
      <c r="D93" s="57">
        <v>0</v>
      </c>
      <c r="E93" s="57">
        <v>0</v>
      </c>
      <c r="F93" s="103"/>
      <c r="G93" s="6">
        <v>0</v>
      </c>
      <c r="H93" s="6"/>
      <c r="I93" s="103"/>
      <c r="J93" s="57">
        <v>0</v>
      </c>
      <c r="K93" s="106"/>
      <c r="L93" s="106">
        <f t="shared" si="2"/>
        <v>0</v>
      </c>
      <c r="M93" s="103"/>
      <c r="N93" s="94">
        <v>0</v>
      </c>
      <c r="P93" s="94">
        <f t="shared" si="3"/>
        <v>0</v>
      </c>
    </row>
    <row r="94" spans="1:17" hidden="1" x14ac:dyDescent="0.3">
      <c r="A94" s="25">
        <v>5112.0200000000004</v>
      </c>
      <c r="B94" s="64" t="s">
        <v>62</v>
      </c>
      <c r="C94" s="57">
        <v>0</v>
      </c>
      <c r="D94" s="57">
        <v>0</v>
      </c>
      <c r="E94" s="57">
        <v>0</v>
      </c>
      <c r="F94" s="103"/>
      <c r="G94" s="6">
        <v>0</v>
      </c>
      <c r="H94" s="6"/>
      <c r="I94" s="103"/>
      <c r="J94" s="57">
        <v>0</v>
      </c>
      <c r="K94" s="106"/>
      <c r="L94" s="106">
        <f t="shared" si="2"/>
        <v>0</v>
      </c>
      <c r="M94" s="103"/>
      <c r="N94" s="94">
        <v>0</v>
      </c>
      <c r="P94" s="94">
        <f t="shared" si="3"/>
        <v>0</v>
      </c>
    </row>
    <row r="95" spans="1:17" x14ac:dyDescent="0.3">
      <c r="A95" s="25">
        <v>5142.0410000000002</v>
      </c>
      <c r="B95" s="64" t="s">
        <v>63</v>
      </c>
      <c r="C95" s="57">
        <v>11126.82</v>
      </c>
      <c r="D95" s="57">
        <v>8500</v>
      </c>
      <c r="E95" s="57">
        <v>8257</v>
      </c>
      <c r="F95" s="103"/>
      <c r="G95" s="6">
        <v>100</v>
      </c>
      <c r="H95" s="6">
        <v>7073</v>
      </c>
      <c r="I95" s="103"/>
      <c r="J95" s="57">
        <v>3000</v>
      </c>
      <c r="K95" s="106">
        <v>782</v>
      </c>
      <c r="L95" s="106">
        <f t="shared" si="2"/>
        <v>1340.5714285714284</v>
      </c>
      <c r="M95" s="103"/>
      <c r="N95" s="94">
        <v>3000</v>
      </c>
      <c r="P95" s="94">
        <f t="shared" si="3"/>
        <v>1659.4285714285716</v>
      </c>
    </row>
    <row r="96" spans="1:17" x14ac:dyDescent="0.3">
      <c r="A96" s="25">
        <v>5182.0441000000001</v>
      </c>
      <c r="B96" s="64" t="s">
        <v>139</v>
      </c>
      <c r="C96" s="57">
        <v>7650.29</v>
      </c>
      <c r="D96" s="57">
        <v>8000</v>
      </c>
      <c r="E96" s="57">
        <v>7305</v>
      </c>
      <c r="F96" s="103"/>
      <c r="G96" s="6">
        <v>5000</v>
      </c>
      <c r="H96" s="6">
        <v>6170</v>
      </c>
      <c r="I96" s="103"/>
      <c r="J96" s="57">
        <v>5000</v>
      </c>
      <c r="K96" s="106">
        <v>4237</v>
      </c>
      <c r="L96" s="106">
        <f t="shared" si="2"/>
        <v>7263.4285714285725</v>
      </c>
      <c r="M96" s="103"/>
      <c r="N96" s="94">
        <v>5000</v>
      </c>
      <c r="P96" s="94">
        <f t="shared" si="3"/>
        <v>-2263.4285714285725</v>
      </c>
    </row>
    <row r="97" spans="1:17" x14ac:dyDescent="0.3">
      <c r="A97" s="25">
        <v>5182.0442000000003</v>
      </c>
      <c r="B97" s="64" t="s">
        <v>94</v>
      </c>
      <c r="C97" s="57">
        <v>45032.5</v>
      </c>
      <c r="D97" s="57">
        <v>15000</v>
      </c>
      <c r="E97" s="57">
        <v>8455</v>
      </c>
      <c r="F97" s="103"/>
      <c r="G97" s="6">
        <v>7500</v>
      </c>
      <c r="H97" s="6">
        <v>27985</v>
      </c>
      <c r="I97" s="103"/>
      <c r="J97" s="57">
        <v>15000</v>
      </c>
      <c r="K97" s="106">
        <v>10885</v>
      </c>
      <c r="L97" s="106">
        <f t="shared" si="2"/>
        <v>18660</v>
      </c>
      <c r="M97" s="103"/>
      <c r="N97" s="94">
        <v>10000</v>
      </c>
      <c r="P97" s="94">
        <f t="shared" si="3"/>
        <v>-8660</v>
      </c>
    </row>
    <row r="98" spans="1:17" x14ac:dyDescent="0.3">
      <c r="A98" s="25">
        <v>7110.02</v>
      </c>
      <c r="B98" s="64" t="s">
        <v>100</v>
      </c>
      <c r="C98" s="57">
        <v>77609.3</v>
      </c>
      <c r="D98" s="57">
        <v>0</v>
      </c>
      <c r="E98" s="57">
        <v>6275</v>
      </c>
      <c r="F98" s="103"/>
      <c r="G98" s="6">
        <v>10000</v>
      </c>
      <c r="H98" s="6">
        <v>11934</v>
      </c>
      <c r="I98" s="103"/>
      <c r="J98" s="57">
        <v>15000</v>
      </c>
      <c r="K98" s="106">
        <v>7145</v>
      </c>
      <c r="L98" s="106">
        <f t="shared" si="2"/>
        <v>12248.571428571428</v>
      </c>
      <c r="M98" s="103"/>
      <c r="N98" s="94">
        <v>10000</v>
      </c>
      <c r="P98" s="94">
        <f t="shared" si="3"/>
        <v>-2248.5714285714275</v>
      </c>
    </row>
    <row r="99" spans="1:17" x14ac:dyDescent="0.3">
      <c r="A99" s="25">
        <v>7110.0410000000002</v>
      </c>
      <c r="B99" s="64" t="s">
        <v>65</v>
      </c>
      <c r="C99" s="57">
        <v>1546.92</v>
      </c>
      <c r="D99" s="57">
        <v>1400</v>
      </c>
      <c r="E99" s="57">
        <v>2164</v>
      </c>
      <c r="F99" s="103"/>
      <c r="G99" s="6">
        <v>1500</v>
      </c>
      <c r="H99" s="6">
        <v>4089</v>
      </c>
      <c r="I99" s="103"/>
      <c r="J99" s="57">
        <v>3000</v>
      </c>
      <c r="K99" s="106">
        <v>9283</v>
      </c>
      <c r="L99" s="106">
        <f t="shared" si="2"/>
        <v>15913.714285714286</v>
      </c>
      <c r="M99" s="103"/>
      <c r="N99" s="94">
        <v>1500</v>
      </c>
      <c r="P99" s="94">
        <f t="shared" si="3"/>
        <v>-14413.714285714286</v>
      </c>
    </row>
    <row r="100" spans="1:17" x14ac:dyDescent="0.3">
      <c r="A100" s="25">
        <v>7110.0439999999999</v>
      </c>
      <c r="B100" s="2" t="s">
        <v>66</v>
      </c>
      <c r="C100" s="57">
        <v>6530.95</v>
      </c>
      <c r="D100" s="57">
        <v>2500</v>
      </c>
      <c r="E100" s="57">
        <v>4510</v>
      </c>
      <c r="F100" s="103"/>
      <c r="G100" s="6">
        <v>4000</v>
      </c>
      <c r="H100" s="6">
        <v>8226</v>
      </c>
      <c r="I100" s="103"/>
      <c r="J100" s="57">
        <v>6000</v>
      </c>
      <c r="K100" s="106">
        <v>6697</v>
      </c>
      <c r="L100" s="106">
        <f t="shared" si="2"/>
        <v>11480.571428571428</v>
      </c>
      <c r="M100" s="103"/>
      <c r="N100" s="94">
        <v>4000</v>
      </c>
      <c r="P100" s="94">
        <f t="shared" si="3"/>
        <v>-7480.5714285714275</v>
      </c>
    </row>
    <row r="101" spans="1:17" hidden="1" x14ac:dyDescent="0.3">
      <c r="A101" s="25">
        <v>7550.0410000000002</v>
      </c>
      <c r="B101" s="2" t="s">
        <v>64</v>
      </c>
      <c r="C101" s="57">
        <v>0</v>
      </c>
      <c r="D101" s="57">
        <v>0</v>
      </c>
      <c r="E101" s="57">
        <v>0</v>
      </c>
      <c r="F101" s="103"/>
      <c r="G101" s="6">
        <v>0</v>
      </c>
      <c r="H101" s="6">
        <v>0</v>
      </c>
      <c r="I101" s="103"/>
      <c r="J101" s="57">
        <v>0</v>
      </c>
      <c r="K101" s="106">
        <v>0</v>
      </c>
      <c r="L101" s="106">
        <f t="shared" si="2"/>
        <v>0</v>
      </c>
      <c r="M101" s="103"/>
      <c r="N101" s="94">
        <v>0</v>
      </c>
      <c r="P101" s="94">
        <f t="shared" si="3"/>
        <v>0</v>
      </c>
    </row>
    <row r="102" spans="1:17" x14ac:dyDescent="0.3">
      <c r="A102" s="25">
        <v>8010.04</v>
      </c>
      <c r="B102" s="2" t="s">
        <v>67</v>
      </c>
      <c r="C102" s="57">
        <v>207.8</v>
      </c>
      <c r="D102" s="57">
        <v>300</v>
      </c>
      <c r="E102" s="57">
        <v>0</v>
      </c>
      <c r="F102" s="103"/>
      <c r="G102" s="6">
        <v>0</v>
      </c>
      <c r="H102" s="6">
        <v>0</v>
      </c>
      <c r="I102" s="103"/>
      <c r="J102" s="57">
        <v>0</v>
      </c>
      <c r="K102" s="106">
        <v>0</v>
      </c>
      <c r="L102" s="106">
        <f t="shared" si="2"/>
        <v>0</v>
      </c>
      <c r="M102" s="103"/>
      <c r="N102" s="94">
        <v>0</v>
      </c>
      <c r="P102" s="94">
        <f t="shared" si="3"/>
        <v>0</v>
      </c>
    </row>
    <row r="103" spans="1:17" x14ac:dyDescent="0.3">
      <c r="A103" s="25">
        <v>8140.04</v>
      </c>
      <c r="B103" s="2" t="s">
        <v>68</v>
      </c>
      <c r="C103" s="57">
        <v>16335</v>
      </c>
      <c r="D103" s="57">
        <v>17000</v>
      </c>
      <c r="E103" s="57">
        <v>14500</v>
      </c>
      <c r="F103" s="103"/>
      <c r="G103" s="6">
        <v>18000</v>
      </c>
      <c r="H103" s="6">
        <v>0</v>
      </c>
      <c r="I103" s="103"/>
      <c r="J103" s="57">
        <v>18000</v>
      </c>
      <c r="K103" s="106">
        <v>0</v>
      </c>
      <c r="L103" s="106">
        <f t="shared" si="2"/>
        <v>0</v>
      </c>
      <c r="M103" s="103"/>
      <c r="N103" s="94">
        <v>18000</v>
      </c>
      <c r="P103" s="94">
        <f t="shared" si="3"/>
        <v>18000</v>
      </c>
    </row>
    <row r="104" spans="1:17" x14ac:dyDescent="0.3">
      <c r="A104" s="25">
        <v>8160.04</v>
      </c>
      <c r="B104" s="2" t="s">
        <v>69</v>
      </c>
      <c r="C104" s="57">
        <v>464126.4</v>
      </c>
      <c r="D104" s="57">
        <v>469980</v>
      </c>
      <c r="E104" s="57">
        <v>464126</v>
      </c>
      <c r="F104" s="103"/>
      <c r="G104" s="6">
        <v>483000</v>
      </c>
      <c r="H104" s="6">
        <v>483000</v>
      </c>
      <c r="I104" s="103"/>
      <c r="J104" s="57">
        <v>498480</v>
      </c>
      <c r="K104" s="106">
        <v>298082</v>
      </c>
      <c r="L104" s="106">
        <v>498480</v>
      </c>
      <c r="M104" s="103"/>
      <c r="N104" s="94">
        <v>426000</v>
      </c>
      <c r="P104" s="94">
        <f t="shared" si="3"/>
        <v>-72480</v>
      </c>
      <c r="Q104" s="77" t="s">
        <v>228</v>
      </c>
    </row>
    <row r="105" spans="1:17" x14ac:dyDescent="0.3">
      <c r="A105" s="25">
        <v>8160.0442000000003</v>
      </c>
      <c r="B105" s="2" t="s">
        <v>70</v>
      </c>
      <c r="C105" s="57">
        <v>750</v>
      </c>
      <c r="D105" s="57">
        <v>1000</v>
      </c>
      <c r="E105" s="57">
        <v>0</v>
      </c>
      <c r="F105" s="103"/>
      <c r="G105" s="6">
        <v>6000</v>
      </c>
      <c r="H105" s="6">
        <v>0</v>
      </c>
      <c r="I105" s="103"/>
      <c r="J105" s="57">
        <v>6000</v>
      </c>
      <c r="K105" s="106">
        <v>0</v>
      </c>
      <c r="L105" s="106">
        <f t="shared" si="2"/>
        <v>0</v>
      </c>
      <c r="M105" s="103"/>
      <c r="N105" s="94">
        <v>7500</v>
      </c>
      <c r="P105" s="94">
        <f t="shared" si="3"/>
        <v>7500</v>
      </c>
    </row>
    <row r="106" spans="1:17" x14ac:dyDescent="0.3">
      <c r="A106" s="25">
        <v>8170.0442000000003</v>
      </c>
      <c r="B106" s="2" t="s">
        <v>102</v>
      </c>
      <c r="C106" s="57">
        <v>0</v>
      </c>
      <c r="D106" s="57">
        <v>0</v>
      </c>
      <c r="E106" s="57">
        <v>0</v>
      </c>
      <c r="F106" s="103"/>
      <c r="G106" s="6">
        <v>4200</v>
      </c>
      <c r="H106" s="6"/>
      <c r="I106" s="103"/>
      <c r="J106" s="57">
        <v>2500</v>
      </c>
      <c r="K106" s="106">
        <v>0</v>
      </c>
      <c r="L106" s="106">
        <v>2500</v>
      </c>
      <c r="M106" s="103"/>
      <c r="N106" s="94">
        <v>2500</v>
      </c>
      <c r="P106" s="94">
        <f t="shared" si="3"/>
        <v>0</v>
      </c>
    </row>
    <row r="107" spans="1:17" x14ac:dyDescent="0.3">
      <c r="A107" s="25">
        <v>8560.0400000000009</v>
      </c>
      <c r="B107" s="2" t="s">
        <v>72</v>
      </c>
      <c r="C107" s="57">
        <v>41029.4</v>
      </c>
      <c r="D107" s="57">
        <v>0</v>
      </c>
      <c r="E107" s="57">
        <v>9850</v>
      </c>
      <c r="F107" s="103"/>
      <c r="G107" s="6">
        <v>12000</v>
      </c>
      <c r="H107" s="6">
        <v>35780</v>
      </c>
      <c r="I107" s="103"/>
      <c r="J107" s="57">
        <v>20000</v>
      </c>
      <c r="K107" s="106">
        <v>19150</v>
      </c>
      <c r="L107" s="106">
        <f t="shared" si="2"/>
        <v>32828.571428571428</v>
      </c>
      <c r="M107" s="103"/>
      <c r="N107" s="94">
        <v>35000</v>
      </c>
      <c r="P107" s="94">
        <f t="shared" si="3"/>
        <v>2171.4285714285725</v>
      </c>
    </row>
    <row r="108" spans="1:17" x14ac:dyDescent="0.3">
      <c r="A108" s="25">
        <v>8560.0409999999993</v>
      </c>
      <c r="B108" s="2" t="s">
        <v>86</v>
      </c>
      <c r="C108" s="57">
        <v>14521.12</v>
      </c>
      <c r="D108" s="57">
        <v>0</v>
      </c>
      <c r="E108" s="57">
        <v>0</v>
      </c>
      <c r="F108" s="103"/>
      <c r="G108" s="6">
        <v>20800</v>
      </c>
      <c r="H108" s="6">
        <v>0</v>
      </c>
      <c r="I108" s="103"/>
      <c r="J108" s="57">
        <v>30000</v>
      </c>
      <c r="K108" s="106">
        <v>0</v>
      </c>
      <c r="L108" s="106">
        <v>15000</v>
      </c>
      <c r="M108" s="103"/>
      <c r="N108" s="94">
        <v>34000</v>
      </c>
      <c r="P108" s="94">
        <f t="shared" si="3"/>
        <v>19000</v>
      </c>
    </row>
    <row r="109" spans="1:17" x14ac:dyDescent="0.3">
      <c r="A109" s="25">
        <v>8710.0440999999992</v>
      </c>
      <c r="B109" s="2" t="s">
        <v>71</v>
      </c>
      <c r="C109" s="57">
        <v>0</v>
      </c>
      <c r="D109" s="57">
        <v>0</v>
      </c>
      <c r="E109" s="57">
        <v>0</v>
      </c>
      <c r="F109" s="103"/>
      <c r="G109" s="6">
        <v>3000</v>
      </c>
      <c r="H109" s="6">
        <v>0</v>
      </c>
      <c r="I109" s="103"/>
      <c r="J109" s="57">
        <v>1500</v>
      </c>
      <c r="K109" s="106">
        <v>0</v>
      </c>
      <c r="L109" s="106">
        <f t="shared" si="2"/>
        <v>0</v>
      </c>
      <c r="M109" s="103"/>
      <c r="N109" s="94">
        <v>3000</v>
      </c>
      <c r="P109" s="94">
        <f t="shared" si="3"/>
        <v>3000</v>
      </c>
    </row>
    <row r="110" spans="1:17" x14ac:dyDescent="0.3">
      <c r="A110" s="25">
        <v>9010.08</v>
      </c>
      <c r="B110" s="2" t="s">
        <v>73</v>
      </c>
      <c r="C110" s="57">
        <v>42343.5</v>
      </c>
      <c r="D110" s="57">
        <v>50000</v>
      </c>
      <c r="E110" s="57">
        <v>19247</v>
      </c>
      <c r="F110" s="103"/>
      <c r="G110" s="6">
        <v>50000</v>
      </c>
      <c r="H110" s="6">
        <v>16239</v>
      </c>
      <c r="I110" s="103"/>
      <c r="J110" s="57">
        <v>50000</v>
      </c>
      <c r="K110" s="106">
        <v>21129</v>
      </c>
      <c r="L110" s="106">
        <f t="shared" ref="L110:L118" si="4">+(K110/7)*12</f>
        <v>36221.142857142855</v>
      </c>
      <c r="M110" s="103"/>
      <c r="N110" s="94">
        <v>50000</v>
      </c>
      <c r="P110" s="94">
        <f t="shared" ref="P110:P119" si="5">+N110-L110</f>
        <v>13778.857142857145</v>
      </c>
    </row>
    <row r="111" spans="1:17" x14ac:dyDescent="0.3">
      <c r="A111" s="25">
        <v>9030.08</v>
      </c>
      <c r="B111" s="2" t="s">
        <v>74</v>
      </c>
      <c r="C111" s="57">
        <v>22704.49</v>
      </c>
      <c r="D111" s="57">
        <v>23000</v>
      </c>
      <c r="E111" s="57">
        <v>22915</v>
      </c>
      <c r="F111" s="103"/>
      <c r="G111" s="6">
        <v>26000</v>
      </c>
      <c r="H111" s="6">
        <v>24505</v>
      </c>
      <c r="I111" s="103"/>
      <c r="J111" s="57">
        <v>26500</v>
      </c>
      <c r="K111" s="106">
        <v>15625</v>
      </c>
      <c r="L111" s="106">
        <f t="shared" si="4"/>
        <v>26785.71428571429</v>
      </c>
      <c r="M111" s="103"/>
      <c r="N111" s="94">
        <v>26000</v>
      </c>
      <c r="P111" s="94">
        <f t="shared" si="5"/>
        <v>-785.71428571428987</v>
      </c>
    </row>
    <row r="112" spans="1:17" x14ac:dyDescent="0.3">
      <c r="A112" s="25">
        <v>9040.08</v>
      </c>
      <c r="B112" s="2" t="s">
        <v>75</v>
      </c>
      <c r="C112" s="57">
        <v>14726.08</v>
      </c>
      <c r="D112" s="57">
        <v>17000</v>
      </c>
      <c r="E112" s="57">
        <v>15065</v>
      </c>
      <c r="F112" s="103"/>
      <c r="G112" s="6">
        <v>30000</v>
      </c>
      <c r="H112" s="6">
        <v>14004</v>
      </c>
      <c r="I112" s="103"/>
      <c r="J112" s="57">
        <v>30000</v>
      </c>
      <c r="K112" s="106">
        <v>13136</v>
      </c>
      <c r="L112" s="106">
        <f t="shared" si="4"/>
        <v>22518.857142857145</v>
      </c>
      <c r="M112" s="103"/>
      <c r="N112" s="94">
        <v>25000</v>
      </c>
      <c r="P112" s="94">
        <f t="shared" si="5"/>
        <v>2481.1428571428551</v>
      </c>
    </row>
    <row r="113" spans="1:17" x14ac:dyDescent="0.3">
      <c r="A113" s="25">
        <v>9050.08</v>
      </c>
      <c r="B113" s="2" t="s">
        <v>76</v>
      </c>
      <c r="C113" s="57">
        <v>348.32</v>
      </c>
      <c r="D113" s="57">
        <v>0</v>
      </c>
      <c r="E113" s="57">
        <v>543</v>
      </c>
      <c r="F113" s="103"/>
      <c r="G113" s="6">
        <v>1800</v>
      </c>
      <c r="H113" s="6">
        <v>1583</v>
      </c>
      <c r="I113" s="103"/>
      <c r="J113" s="57">
        <v>1800</v>
      </c>
      <c r="K113" s="106">
        <v>113</v>
      </c>
      <c r="L113" s="106">
        <f t="shared" si="4"/>
        <v>193.71428571428572</v>
      </c>
      <c r="M113" s="103"/>
      <c r="N113" s="94">
        <v>1800</v>
      </c>
      <c r="P113" s="94">
        <f t="shared" si="5"/>
        <v>1606.2857142857142</v>
      </c>
    </row>
    <row r="114" spans="1:17" x14ac:dyDescent="0.3">
      <c r="A114" s="25">
        <v>9055.08</v>
      </c>
      <c r="B114" s="2" t="s">
        <v>77</v>
      </c>
      <c r="C114" s="57">
        <v>0</v>
      </c>
      <c r="D114" s="57">
        <v>0</v>
      </c>
      <c r="E114" s="57">
        <v>216</v>
      </c>
      <c r="F114" s="103"/>
      <c r="G114" s="6">
        <v>0</v>
      </c>
      <c r="H114" s="6">
        <v>169</v>
      </c>
      <c r="I114" s="103"/>
      <c r="J114" s="57">
        <v>0</v>
      </c>
      <c r="K114" s="106">
        <v>169</v>
      </c>
      <c r="L114" s="106">
        <f t="shared" si="4"/>
        <v>289.71428571428572</v>
      </c>
      <c r="M114" s="103"/>
      <c r="N114" s="94">
        <v>0</v>
      </c>
      <c r="P114" s="94">
        <f t="shared" si="5"/>
        <v>-289.71428571428572</v>
      </c>
    </row>
    <row r="115" spans="1:17" x14ac:dyDescent="0.3">
      <c r="A115" s="25">
        <v>9060.08</v>
      </c>
      <c r="B115" s="2" t="s">
        <v>78</v>
      </c>
      <c r="C115" s="57">
        <v>141095.45000000001</v>
      </c>
      <c r="D115" s="57">
        <v>160000</v>
      </c>
      <c r="E115" s="57">
        <v>123878</v>
      </c>
      <c r="F115" s="103"/>
      <c r="G115" s="6">
        <v>160000</v>
      </c>
      <c r="H115" s="6">
        <v>127985</v>
      </c>
      <c r="I115" s="103"/>
      <c r="J115" s="57">
        <v>160000</v>
      </c>
      <c r="K115" s="106">
        <v>71092</v>
      </c>
      <c r="L115" s="106">
        <f t="shared" si="4"/>
        <v>121872</v>
      </c>
      <c r="M115" s="103"/>
      <c r="N115" s="94">
        <v>130000</v>
      </c>
      <c r="P115" s="94">
        <f t="shared" si="5"/>
        <v>8128</v>
      </c>
    </row>
    <row r="116" spans="1:17" x14ac:dyDescent="0.3">
      <c r="A116" s="25">
        <v>9065.08</v>
      </c>
      <c r="B116" s="2" t="s">
        <v>79</v>
      </c>
      <c r="C116" s="57"/>
      <c r="D116" s="57">
        <v>0</v>
      </c>
      <c r="E116" s="57">
        <v>4</v>
      </c>
      <c r="F116" s="103"/>
      <c r="G116" s="6">
        <v>0</v>
      </c>
      <c r="H116" s="6">
        <v>53</v>
      </c>
      <c r="I116" s="103"/>
      <c r="J116" s="57">
        <v>0</v>
      </c>
      <c r="K116" s="106">
        <v>0</v>
      </c>
      <c r="L116" s="106">
        <f t="shared" si="4"/>
        <v>0</v>
      </c>
      <c r="M116" s="103"/>
      <c r="N116" s="94">
        <v>0</v>
      </c>
      <c r="P116" s="94">
        <f t="shared" si="5"/>
        <v>0</v>
      </c>
    </row>
    <row r="117" spans="1:17" x14ac:dyDescent="0.3">
      <c r="A117" s="25">
        <v>9710.06</v>
      </c>
      <c r="B117" s="2" t="s">
        <v>80</v>
      </c>
      <c r="C117" s="57">
        <v>205000</v>
      </c>
      <c r="D117" s="57">
        <v>215000</v>
      </c>
      <c r="E117" s="57">
        <v>215000</v>
      </c>
      <c r="F117" s="103"/>
      <c r="G117" s="6">
        <v>215000</v>
      </c>
      <c r="H117" s="6">
        <v>215000</v>
      </c>
      <c r="I117" s="103"/>
      <c r="J117" s="57">
        <v>0</v>
      </c>
      <c r="K117" s="106">
        <v>0</v>
      </c>
      <c r="L117" s="106">
        <f t="shared" si="4"/>
        <v>0</v>
      </c>
      <c r="M117" s="103"/>
      <c r="N117" s="94">
        <v>0</v>
      </c>
      <c r="P117" s="94">
        <f t="shared" si="5"/>
        <v>0</v>
      </c>
      <c r="Q117" s="77" t="s">
        <v>227</v>
      </c>
    </row>
    <row r="118" spans="1:17" x14ac:dyDescent="0.3">
      <c r="A118" s="25">
        <v>9710.07</v>
      </c>
      <c r="B118" s="2" t="s">
        <v>81</v>
      </c>
      <c r="C118" s="57">
        <v>27950</v>
      </c>
      <c r="D118" s="57">
        <v>19750</v>
      </c>
      <c r="E118" s="57">
        <v>19750</v>
      </c>
      <c r="F118" s="103"/>
      <c r="G118" s="34">
        <v>19750</v>
      </c>
      <c r="H118" s="6">
        <v>19750</v>
      </c>
      <c r="I118" s="103"/>
      <c r="J118" s="57">
        <v>0</v>
      </c>
      <c r="K118" s="106">
        <v>0</v>
      </c>
      <c r="L118" s="106">
        <f t="shared" si="4"/>
        <v>0</v>
      </c>
      <c r="M118" s="103"/>
      <c r="N118" s="101">
        <v>0</v>
      </c>
      <c r="P118" s="94">
        <f t="shared" si="5"/>
        <v>0</v>
      </c>
      <c r="Q118" s="77" t="s">
        <v>227</v>
      </c>
    </row>
    <row r="119" spans="1:17" s="93" customFormat="1" x14ac:dyDescent="0.3">
      <c r="A119" s="25">
        <v>1990.04</v>
      </c>
      <c r="B119" s="2" t="s">
        <v>51</v>
      </c>
      <c r="C119" s="59">
        <v>0</v>
      </c>
      <c r="D119" s="108">
        <v>-44355</v>
      </c>
      <c r="E119" s="108">
        <v>0</v>
      </c>
      <c r="F119" s="103"/>
      <c r="G119" s="101">
        <v>90</v>
      </c>
      <c r="H119" s="101">
        <v>0</v>
      </c>
      <c r="I119" s="103"/>
      <c r="J119" s="108">
        <v>0</v>
      </c>
      <c r="K119" s="108">
        <v>0</v>
      </c>
      <c r="L119" s="108">
        <f>+(K119/7)*12</f>
        <v>0</v>
      </c>
      <c r="M119" s="103"/>
      <c r="N119" s="101">
        <v>247141</v>
      </c>
      <c r="O119" s="82"/>
      <c r="P119" s="94">
        <f t="shared" si="5"/>
        <v>247141</v>
      </c>
      <c r="Q119" s="81"/>
    </row>
    <row r="120" spans="1:17" ht="17.25" thickBot="1" x14ac:dyDescent="0.35">
      <c r="A120" s="2" t="s">
        <v>238</v>
      </c>
      <c r="C120" s="2"/>
      <c r="D120" s="107">
        <v>0</v>
      </c>
      <c r="E120" s="107">
        <v>0</v>
      </c>
      <c r="F120" s="104"/>
      <c r="G120" s="100">
        <v>90</v>
      </c>
      <c r="H120" s="100">
        <v>0</v>
      </c>
      <c r="I120" s="104"/>
      <c r="J120" s="107">
        <v>0</v>
      </c>
      <c r="K120" s="107">
        <v>0</v>
      </c>
      <c r="L120" s="107">
        <f>+(K120/7)*12</f>
        <v>0</v>
      </c>
      <c r="M120" s="103"/>
      <c r="N120" s="100">
        <f>498000-462</f>
        <v>497538</v>
      </c>
      <c r="O120" s="93"/>
      <c r="P120" s="100">
        <f>J120-G120</f>
        <v>-90</v>
      </c>
      <c r="Q120" s="2"/>
    </row>
    <row r="121" spans="1:17" x14ac:dyDescent="0.3">
      <c r="A121" s="25"/>
      <c r="C121" s="60"/>
      <c r="D121" s="60"/>
      <c r="E121" s="60"/>
      <c r="F121" s="52"/>
      <c r="G121" s="34"/>
      <c r="H121" s="34"/>
      <c r="I121" s="52"/>
      <c r="J121" s="60"/>
      <c r="K121" s="60"/>
      <c r="L121" s="108"/>
      <c r="M121" s="52"/>
      <c r="N121" s="101"/>
      <c r="P121" s="34"/>
    </row>
    <row r="122" spans="1:17" ht="17.25" thickBot="1" x14ac:dyDescent="0.35">
      <c r="B122" s="2" t="s">
        <v>83</v>
      </c>
      <c r="C122" s="61">
        <f>SUM(C46:C119)</f>
        <v>2186393.7999999998</v>
      </c>
      <c r="D122" s="61">
        <f>SUM(D46:D119)</f>
        <v>1875775</v>
      </c>
      <c r="E122" s="61">
        <f>SUM(E46:E119)</f>
        <v>1936842</v>
      </c>
      <c r="F122" s="52"/>
      <c r="G122" s="35">
        <f>SUM(G46:G119)</f>
        <v>1862030</v>
      </c>
      <c r="H122" s="35">
        <f>SUM(H46:H119)</f>
        <v>1616736.1</v>
      </c>
      <c r="I122" s="52"/>
      <c r="J122" s="61">
        <f>SUM(J46:J119)</f>
        <v>1873973</v>
      </c>
      <c r="K122" s="109">
        <f>SUM(K46:K119)</f>
        <v>1474674</v>
      </c>
      <c r="L122" s="109">
        <f>SUM(L46:L119)</f>
        <v>2088124.7142857141</v>
      </c>
      <c r="M122" s="52"/>
      <c r="N122" s="102">
        <f>SUM(N46:N120)</f>
        <v>2130894</v>
      </c>
      <c r="P122" s="35">
        <f>SUM(P46:P119)</f>
        <v>-454768.71428571455</v>
      </c>
    </row>
    <row r="123" spans="1:17" ht="17.25" thickTop="1" x14ac:dyDescent="0.3">
      <c r="C123" s="57"/>
      <c r="D123" s="57"/>
      <c r="E123" s="57"/>
      <c r="F123" s="52"/>
      <c r="G123" s="6"/>
      <c r="H123" s="34"/>
      <c r="I123" s="52"/>
      <c r="J123" s="57"/>
      <c r="K123" s="57"/>
      <c r="L123" s="106"/>
      <c r="M123" s="52"/>
      <c r="N123" s="94"/>
      <c r="P123" s="6"/>
    </row>
    <row r="124" spans="1:17" s="14" customFormat="1" ht="17.25" thickBot="1" x14ac:dyDescent="0.35">
      <c r="A124" s="15"/>
      <c r="B124" s="14" t="s">
        <v>134</v>
      </c>
      <c r="C124" s="57">
        <f>+C44-C122</f>
        <v>-248370.25</v>
      </c>
      <c r="D124" s="57">
        <f>+D44-D122</f>
        <v>0</v>
      </c>
      <c r="E124" s="57">
        <f>+E44-E122</f>
        <v>-21750</v>
      </c>
      <c r="F124" s="55"/>
      <c r="G124" s="14">
        <f>+G44-G122</f>
        <v>0</v>
      </c>
      <c r="H124" s="34">
        <f>+H44-H122</f>
        <v>266059.89999999991</v>
      </c>
      <c r="I124" s="55"/>
      <c r="J124" s="106">
        <f>+J44-J122</f>
        <v>0</v>
      </c>
      <c r="K124" s="106">
        <f>+K44-K122</f>
        <v>346340</v>
      </c>
      <c r="L124" s="106">
        <f>+L44-L122</f>
        <v>-134071.71428571385</v>
      </c>
      <c r="M124" s="52"/>
      <c r="N124" s="97">
        <f>+N44-N122</f>
        <v>0</v>
      </c>
      <c r="Q124" s="78"/>
    </row>
    <row r="125" spans="1:17" x14ac:dyDescent="0.3">
      <c r="C125" s="63"/>
      <c r="H125" s="80"/>
      <c r="J125" s="7"/>
      <c r="K125" s="7"/>
      <c r="L125" s="95"/>
      <c r="O125" s="7"/>
    </row>
  </sheetData>
  <printOptions horizontalCentered="1"/>
  <pageMargins left="0.7" right="0.7" top="0.75" bottom="0.75" header="0.3" footer="0.3"/>
  <pageSetup scale="77" fitToHeight="4" orientation="portrait" r:id="rId1"/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M123"/>
  <sheetViews>
    <sheetView zoomScaleNormal="100" workbookViewId="0">
      <pane xSplit="2" ySplit="2" topLeftCell="N65" activePane="bottomRight" state="frozen"/>
      <selection pane="topRight" activeCell="C1" sqref="C1"/>
      <selection pane="bottomLeft" activeCell="A3" sqref="A3"/>
      <selection pane="bottomRight" activeCell="AF87" sqref="AF87"/>
    </sheetView>
  </sheetViews>
  <sheetFormatPr defaultColWidth="9.140625" defaultRowHeight="16.5" x14ac:dyDescent="0.3"/>
  <cols>
    <col min="1" max="1" width="10.85546875" style="1" bestFit="1" customWidth="1"/>
    <col min="2" max="2" width="52.140625" style="2" bestFit="1" customWidth="1"/>
    <col min="3" max="3" width="16.42578125" style="13" customWidth="1"/>
    <col min="4" max="4" width="15.5703125" style="13" customWidth="1"/>
    <col min="5" max="5" width="15.42578125" style="13" customWidth="1"/>
    <col min="6" max="6" width="14.5703125" style="14" customWidth="1"/>
    <col min="7" max="8" width="14.5703125" style="5" hidden="1" customWidth="1"/>
    <col min="9" max="9" width="14.5703125" style="45" hidden="1" customWidth="1"/>
    <col min="10" max="10" width="15.85546875" style="14" customWidth="1"/>
    <col min="11" max="11" width="14.5703125" style="3" customWidth="1"/>
    <col min="12" max="12" width="14.5703125" style="38" hidden="1" customWidth="1"/>
    <col min="13" max="13" width="16" style="48" customWidth="1"/>
    <col min="14" max="14" width="14.5703125" style="7" customWidth="1"/>
    <col min="15" max="16" width="14.5703125" style="5" hidden="1" customWidth="1"/>
    <col min="17" max="18" width="14.5703125" style="6" hidden="1" customWidth="1"/>
    <col min="19" max="19" width="1.5703125" style="34" hidden="1" customWidth="1"/>
    <col min="20" max="23" width="14.5703125" style="6" hidden="1" customWidth="1"/>
    <col min="24" max="24" width="14.5703125" style="6" customWidth="1"/>
    <col min="25" max="25" width="13.140625" style="7" bestFit="1" customWidth="1"/>
    <col min="26" max="26" width="13.5703125" style="7" bestFit="1" customWidth="1"/>
    <col min="27" max="27" width="14.5703125" style="7" bestFit="1" customWidth="1"/>
    <col min="28" max="28" width="14.5703125" style="7" customWidth="1"/>
    <col min="29" max="29" width="12.85546875" style="7" bestFit="1" customWidth="1"/>
    <col min="30" max="30" width="14.5703125" style="2" bestFit="1" customWidth="1"/>
    <col min="31" max="31" width="12.7109375" style="2" bestFit="1" customWidth="1"/>
    <col min="32" max="32" width="37.42578125" style="2" customWidth="1"/>
    <col min="33" max="16384" width="9.140625" style="2"/>
  </cols>
  <sheetData>
    <row r="1" spans="1:39" ht="15" customHeight="1" x14ac:dyDescent="0.3">
      <c r="A1" s="51"/>
      <c r="B1" s="114" t="s">
        <v>124</v>
      </c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52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15"/>
      <c r="AL1" s="115"/>
      <c r="AM1" s="115"/>
    </row>
    <row r="2" spans="1:39" s="12" customFormat="1" ht="66.75" thickBot="1" x14ac:dyDescent="0.35">
      <c r="A2" s="50" t="s">
        <v>104</v>
      </c>
      <c r="B2" s="8" t="s">
        <v>107</v>
      </c>
      <c r="C2" s="37" t="s">
        <v>113</v>
      </c>
      <c r="D2" s="37" t="s">
        <v>112</v>
      </c>
      <c r="E2" s="37" t="s">
        <v>111</v>
      </c>
      <c r="F2" s="37" t="s">
        <v>110</v>
      </c>
      <c r="G2" s="42" t="s">
        <v>91</v>
      </c>
      <c r="H2" s="42" t="s">
        <v>92</v>
      </c>
      <c r="I2" s="43" t="s">
        <v>90</v>
      </c>
      <c r="J2" s="37" t="s">
        <v>109</v>
      </c>
      <c r="K2" s="10" t="s">
        <v>133</v>
      </c>
      <c r="L2" s="39" t="s">
        <v>95</v>
      </c>
      <c r="M2" s="55" t="s">
        <v>132</v>
      </c>
      <c r="N2" s="11" t="s">
        <v>129</v>
      </c>
      <c r="O2" s="9" t="s">
        <v>96</v>
      </c>
      <c r="P2" s="9" t="s">
        <v>97</v>
      </c>
      <c r="Q2" s="10" t="s">
        <v>123</v>
      </c>
      <c r="R2" s="10" t="s">
        <v>122</v>
      </c>
      <c r="S2" s="53"/>
      <c r="U2" s="10" t="s">
        <v>105</v>
      </c>
      <c r="V2" s="10" t="s">
        <v>125</v>
      </c>
      <c r="W2" s="10" t="s">
        <v>126</v>
      </c>
      <c r="X2" s="55" t="s">
        <v>136</v>
      </c>
      <c r="Y2" s="11" t="s">
        <v>128</v>
      </c>
      <c r="Z2" s="11" t="s">
        <v>130</v>
      </c>
      <c r="AA2" s="10" t="s">
        <v>127</v>
      </c>
      <c r="AB2" s="55" t="s">
        <v>137</v>
      </c>
      <c r="AC2" s="11" t="s">
        <v>131</v>
      </c>
      <c r="AD2" s="11" t="s">
        <v>135</v>
      </c>
      <c r="AE2" s="10"/>
      <c r="AF2" s="10"/>
      <c r="AG2" s="10"/>
      <c r="AH2" s="55"/>
      <c r="AI2" s="11"/>
      <c r="AJ2" s="11"/>
      <c r="AK2" s="10"/>
      <c r="AL2" s="55"/>
      <c r="AM2" s="11"/>
    </row>
    <row r="3" spans="1:39" ht="7.5" customHeight="1" x14ac:dyDescent="0.3">
      <c r="I3" s="44" t="s">
        <v>93</v>
      </c>
      <c r="J3" s="15"/>
      <c r="K3" s="15"/>
      <c r="M3" s="4"/>
      <c r="AA3" s="6"/>
      <c r="AB3" s="6"/>
    </row>
    <row r="4" spans="1:39" ht="29.25" customHeight="1" x14ac:dyDescent="0.3">
      <c r="A4" s="1">
        <v>1001</v>
      </c>
      <c r="B4" s="2" t="s">
        <v>0</v>
      </c>
      <c r="C4" s="18">
        <v>1145316.93</v>
      </c>
      <c r="D4" s="18">
        <v>1163266.1000000001</v>
      </c>
      <c r="E4" s="18">
        <v>1196260.1299999999</v>
      </c>
      <c r="F4" s="46">
        <v>1218294.96</v>
      </c>
      <c r="G4" s="5">
        <v>1230381.4099999999</v>
      </c>
      <c r="H4" s="5">
        <f>+G4</f>
        <v>1230381.4099999999</v>
      </c>
      <c r="I4" s="45">
        <v>1203635</v>
      </c>
      <c r="J4" s="18">
        <v>1230338.68</v>
      </c>
      <c r="K4" s="17">
        <f>+H4*1.02</f>
        <v>1254989.0381999998</v>
      </c>
      <c r="L4" s="19">
        <f t="shared" ref="L4:L23" si="0">+K4-H4</f>
        <v>24607.628199999919</v>
      </c>
      <c r="M4" s="18">
        <v>1256027.42</v>
      </c>
      <c r="N4" s="20">
        <v>1281148</v>
      </c>
      <c r="O4" s="19">
        <v>1256027.27</v>
      </c>
      <c r="P4" s="19">
        <f>+O4</f>
        <v>1256027.27</v>
      </c>
      <c r="Q4" s="20">
        <v>1276912.22</v>
      </c>
      <c r="R4" s="20">
        <v>1277000</v>
      </c>
      <c r="S4" s="49"/>
      <c r="U4" s="19"/>
      <c r="V4" s="19">
        <f>SUM(T4:U4)</f>
        <v>0</v>
      </c>
      <c r="W4" s="19">
        <f>V4</f>
        <v>0</v>
      </c>
      <c r="X4" s="56"/>
      <c r="Y4" s="20">
        <v>1277000</v>
      </c>
      <c r="Z4" s="20">
        <f>1274806.5+9508</f>
        <v>1284314.5</v>
      </c>
      <c r="AA4" s="20">
        <f>1278000+36000</f>
        <v>1314000</v>
      </c>
      <c r="AB4" s="56">
        <v>1312690</v>
      </c>
      <c r="AC4" s="20">
        <v>1340280</v>
      </c>
      <c r="AD4" s="56">
        <v>1371416</v>
      </c>
      <c r="AF4" s="2" t="s">
        <v>224</v>
      </c>
    </row>
    <row r="5" spans="1:39" x14ac:dyDescent="0.3">
      <c r="B5" s="2" t="s">
        <v>1</v>
      </c>
      <c r="C5" s="13">
        <v>4726.49</v>
      </c>
      <c r="D5" s="13">
        <v>0</v>
      </c>
      <c r="E5" s="13">
        <v>0</v>
      </c>
      <c r="F5" s="16"/>
      <c r="L5" s="5">
        <f t="shared" si="0"/>
        <v>0</v>
      </c>
      <c r="M5" s="14"/>
      <c r="N5" s="6"/>
      <c r="U5" s="5"/>
      <c r="V5" s="5">
        <f t="shared" ref="V5:W63" si="1">SUM(T5:U5)</f>
        <v>0</v>
      </c>
      <c r="W5" s="5">
        <f>V5</f>
        <v>0</v>
      </c>
      <c r="X5" s="57"/>
      <c r="Y5" s="6">
        <v>0</v>
      </c>
      <c r="Z5" s="6">
        <v>9508.3799999999992</v>
      </c>
      <c r="AA5" s="6">
        <v>0</v>
      </c>
      <c r="AB5" s="57">
        <v>2106</v>
      </c>
      <c r="AC5" s="6">
        <v>0</v>
      </c>
      <c r="AD5" s="57"/>
    </row>
    <row r="6" spans="1:39" x14ac:dyDescent="0.3">
      <c r="A6" s="1">
        <v>1090</v>
      </c>
      <c r="B6" s="2" t="s">
        <v>2</v>
      </c>
      <c r="C6" s="14">
        <v>5016.49</v>
      </c>
      <c r="D6" s="14">
        <v>5455.94</v>
      </c>
      <c r="E6" s="6">
        <v>5422.01</v>
      </c>
      <c r="F6" s="14">
        <v>6355.94</v>
      </c>
      <c r="G6" s="5">
        <v>4604.37</v>
      </c>
      <c r="H6" s="5">
        <f>G6/9.5*12</f>
        <v>5816.0463157894737</v>
      </c>
      <c r="I6" s="5">
        <v>4500</v>
      </c>
      <c r="J6" s="14">
        <v>4008.25</v>
      </c>
      <c r="K6" s="3">
        <v>5000</v>
      </c>
      <c r="L6" s="5">
        <f t="shared" si="0"/>
        <v>-816.04631578947374</v>
      </c>
      <c r="M6" s="14">
        <v>3485.47</v>
      </c>
      <c r="N6" s="6">
        <v>5000</v>
      </c>
      <c r="O6" s="5">
        <v>3485.47</v>
      </c>
      <c r="P6" s="5">
        <v>5000</v>
      </c>
      <c r="Q6" s="6">
        <v>5964.39</v>
      </c>
      <c r="R6" s="6">
        <v>8900</v>
      </c>
      <c r="U6" s="5"/>
      <c r="V6" s="5">
        <f t="shared" si="1"/>
        <v>0</v>
      </c>
      <c r="W6" s="5">
        <f t="shared" ref="W6:W41" si="2">V6</f>
        <v>0</v>
      </c>
      <c r="X6" s="57"/>
      <c r="Y6" s="6">
        <v>4500</v>
      </c>
      <c r="Z6" s="6">
        <v>5956</v>
      </c>
      <c r="AA6" s="6">
        <f t="shared" ref="AA6:AA20" si="3">R6</f>
        <v>8900</v>
      </c>
      <c r="AB6" s="57">
        <v>4426</v>
      </c>
      <c r="AC6" s="6">
        <v>5000</v>
      </c>
      <c r="AD6" s="57">
        <v>5000</v>
      </c>
    </row>
    <row r="7" spans="1:39" x14ac:dyDescent="0.3">
      <c r="A7" s="1">
        <v>1110</v>
      </c>
      <c r="B7" s="2" t="s">
        <v>3</v>
      </c>
      <c r="C7" s="14">
        <v>14966</v>
      </c>
      <c r="D7" s="14">
        <v>7483</v>
      </c>
      <c r="E7" s="6">
        <v>7483</v>
      </c>
      <c r="F7" s="14">
        <v>7483</v>
      </c>
      <c r="H7" s="5">
        <v>7483</v>
      </c>
      <c r="I7" s="5">
        <v>7500</v>
      </c>
      <c r="J7" s="14">
        <v>7483</v>
      </c>
      <c r="K7" s="3">
        <f>+I7</f>
        <v>7500</v>
      </c>
      <c r="L7" s="5">
        <f t="shared" si="0"/>
        <v>17</v>
      </c>
      <c r="M7" s="14">
        <v>0</v>
      </c>
      <c r="N7" s="6">
        <v>7500</v>
      </c>
      <c r="P7" s="5">
        <v>7483</v>
      </c>
      <c r="Q7" s="6">
        <v>0</v>
      </c>
      <c r="R7" s="6">
        <v>7500</v>
      </c>
      <c r="U7" s="5"/>
      <c r="V7" s="5">
        <f t="shared" si="1"/>
        <v>0</v>
      </c>
      <c r="W7" s="5">
        <f t="shared" si="2"/>
        <v>0</v>
      </c>
      <c r="X7" s="57"/>
      <c r="Y7" s="6">
        <v>0</v>
      </c>
      <c r="Z7" s="6">
        <v>7483</v>
      </c>
      <c r="AA7" s="6">
        <f t="shared" si="3"/>
        <v>7500</v>
      </c>
      <c r="AB7" s="57">
        <v>0</v>
      </c>
      <c r="AC7" s="6">
        <v>7500</v>
      </c>
      <c r="AD7" s="57"/>
    </row>
    <row r="8" spans="1:39" x14ac:dyDescent="0.3">
      <c r="A8" s="1">
        <v>1130</v>
      </c>
      <c r="B8" s="2" t="s">
        <v>4</v>
      </c>
      <c r="C8" s="14">
        <v>59652.13</v>
      </c>
      <c r="D8" s="14">
        <v>50659.21</v>
      </c>
      <c r="E8" s="6">
        <v>63151.38</v>
      </c>
      <c r="F8" s="14">
        <v>53519.89</v>
      </c>
      <c r="G8" s="5">
        <v>30630.63</v>
      </c>
      <c r="H8" s="5">
        <v>42000</v>
      </c>
      <c r="I8" s="5">
        <v>40000</v>
      </c>
      <c r="J8" s="14">
        <v>53412.800000000003</v>
      </c>
      <c r="K8" s="3">
        <f>+H8</f>
        <v>42000</v>
      </c>
      <c r="L8" s="5">
        <f t="shared" si="0"/>
        <v>0</v>
      </c>
      <c r="M8" s="14">
        <v>60236.36</v>
      </c>
      <c r="N8" s="6">
        <v>55000</v>
      </c>
      <c r="O8" s="5">
        <v>25255.07</v>
      </c>
      <c r="P8" s="5">
        <v>50000</v>
      </c>
      <c r="Q8" s="6">
        <v>28630.29</v>
      </c>
      <c r="R8" s="6">
        <v>43000</v>
      </c>
      <c r="U8" s="5"/>
      <c r="V8" s="5">
        <f t="shared" si="1"/>
        <v>0</v>
      </c>
      <c r="W8" s="5">
        <f t="shared" si="2"/>
        <v>0</v>
      </c>
      <c r="X8" s="57"/>
      <c r="Y8" s="6">
        <v>55000</v>
      </c>
      <c r="Z8" s="6">
        <v>56685.14</v>
      </c>
      <c r="AA8" s="6">
        <f t="shared" si="3"/>
        <v>43000</v>
      </c>
      <c r="AB8" s="57">
        <v>47962</v>
      </c>
      <c r="AC8" s="6">
        <v>42000</v>
      </c>
      <c r="AD8" s="57">
        <v>42000</v>
      </c>
    </row>
    <row r="9" spans="1:39" x14ac:dyDescent="0.3">
      <c r="A9" s="1">
        <v>1170</v>
      </c>
      <c r="B9" s="2" t="s">
        <v>5</v>
      </c>
      <c r="C9" s="14">
        <v>19387.98</v>
      </c>
      <c r="D9" s="14">
        <v>32814.39</v>
      </c>
      <c r="E9" s="6">
        <v>18984</v>
      </c>
      <c r="F9" s="14">
        <v>36108.800000000003</v>
      </c>
      <c r="G9" s="5">
        <v>23607.4</v>
      </c>
      <c r="H9" s="5">
        <f>G9/9.5*12</f>
        <v>29819.873684210528</v>
      </c>
      <c r="I9" s="5">
        <v>30000</v>
      </c>
      <c r="J9" s="14">
        <v>33660.5</v>
      </c>
      <c r="K9" s="3">
        <f>+I9</f>
        <v>30000</v>
      </c>
      <c r="L9" s="5">
        <f t="shared" si="0"/>
        <v>180.12631578947185</v>
      </c>
      <c r="M9" s="14">
        <v>28809.41</v>
      </c>
      <c r="N9" s="6">
        <v>30000</v>
      </c>
      <c r="O9" s="5">
        <v>14714.58</v>
      </c>
      <c r="P9" s="5">
        <v>30000</v>
      </c>
      <c r="Q9" s="6">
        <v>19981.8</v>
      </c>
      <c r="R9" s="6">
        <v>30000</v>
      </c>
      <c r="U9" s="5"/>
      <c r="V9" s="5">
        <f t="shared" si="1"/>
        <v>0</v>
      </c>
      <c r="W9" s="5">
        <f t="shared" si="2"/>
        <v>0</v>
      </c>
      <c r="X9" s="57"/>
      <c r="Y9" s="6">
        <v>30000</v>
      </c>
      <c r="Z9" s="6">
        <v>40297.910000000003</v>
      </c>
      <c r="AA9" s="6">
        <f t="shared" si="3"/>
        <v>30000</v>
      </c>
      <c r="AB9" s="57">
        <v>40019</v>
      </c>
      <c r="AC9" s="6">
        <v>30000</v>
      </c>
      <c r="AD9" s="57">
        <v>40000</v>
      </c>
    </row>
    <row r="10" spans="1:39" x14ac:dyDescent="0.3">
      <c r="A10" s="1">
        <v>1230</v>
      </c>
      <c r="B10" s="2" t="s">
        <v>103</v>
      </c>
      <c r="C10" s="14">
        <v>303.5</v>
      </c>
      <c r="D10" s="14">
        <v>367</v>
      </c>
      <c r="E10" s="6">
        <v>322.5</v>
      </c>
      <c r="F10" s="14">
        <v>275.75</v>
      </c>
      <c r="G10" s="5">
        <v>157.44999999999999</v>
      </c>
      <c r="H10" s="5">
        <f>G10/9.5*12</f>
        <v>198.88421052631577</v>
      </c>
      <c r="I10" s="5">
        <v>500</v>
      </c>
      <c r="J10" s="14">
        <v>239.2</v>
      </c>
      <c r="K10" s="3">
        <v>250</v>
      </c>
      <c r="L10" s="5">
        <f t="shared" si="0"/>
        <v>51.115789473684231</v>
      </c>
      <c r="M10" s="14">
        <v>262.25</v>
      </c>
      <c r="N10" s="6">
        <v>250</v>
      </c>
      <c r="O10" s="5">
        <v>205.25</v>
      </c>
      <c r="P10" s="5">
        <v>275</v>
      </c>
      <c r="Q10" s="6">
        <v>331.85</v>
      </c>
      <c r="R10" s="6">
        <v>500</v>
      </c>
      <c r="U10" s="5"/>
      <c r="V10" s="5">
        <f t="shared" si="1"/>
        <v>0</v>
      </c>
      <c r="W10" s="5">
        <f t="shared" si="2"/>
        <v>0</v>
      </c>
      <c r="X10" s="57"/>
      <c r="Y10" s="6">
        <v>0</v>
      </c>
      <c r="Z10" s="6">
        <v>363.35</v>
      </c>
      <c r="AA10" s="6">
        <f t="shared" si="3"/>
        <v>500</v>
      </c>
      <c r="AB10" s="57">
        <v>333</v>
      </c>
      <c r="AC10" s="6">
        <v>250</v>
      </c>
      <c r="AD10" s="57">
        <v>250</v>
      </c>
    </row>
    <row r="11" spans="1:39" x14ac:dyDescent="0.3">
      <c r="A11" s="1">
        <v>1560</v>
      </c>
      <c r="B11" s="2" t="s">
        <v>6</v>
      </c>
      <c r="C11" s="14">
        <v>6702.5</v>
      </c>
      <c r="D11" s="14">
        <v>6140</v>
      </c>
      <c r="E11" s="6">
        <v>13625</v>
      </c>
      <c r="F11" s="14">
        <v>6250</v>
      </c>
      <c r="G11" s="5">
        <v>7050</v>
      </c>
      <c r="H11" s="5">
        <v>7500</v>
      </c>
      <c r="I11" s="5">
        <v>7500</v>
      </c>
      <c r="J11" s="14">
        <v>9225</v>
      </c>
      <c r="K11" s="3">
        <f t="shared" ref="K11:K20" si="4">+I11</f>
        <v>7500</v>
      </c>
      <c r="L11" s="5">
        <f t="shared" si="0"/>
        <v>0</v>
      </c>
      <c r="M11" s="14">
        <v>4949</v>
      </c>
      <c r="N11" s="6">
        <v>7000</v>
      </c>
      <c r="O11" s="5">
        <v>3375</v>
      </c>
      <c r="P11" s="5">
        <v>5000</v>
      </c>
      <c r="Q11" s="6">
        <v>950</v>
      </c>
      <c r="R11" s="6">
        <v>1500</v>
      </c>
      <c r="U11" s="5"/>
      <c r="V11" s="5">
        <f t="shared" si="1"/>
        <v>0</v>
      </c>
      <c r="W11" s="5">
        <f t="shared" si="2"/>
        <v>0</v>
      </c>
      <c r="X11" s="57"/>
      <c r="Y11" s="6">
        <v>0</v>
      </c>
      <c r="Z11" s="6">
        <v>1450</v>
      </c>
      <c r="AA11" s="6">
        <f t="shared" si="3"/>
        <v>1500</v>
      </c>
      <c r="AB11" s="57">
        <v>0</v>
      </c>
      <c r="AC11" s="6">
        <v>40000</v>
      </c>
      <c r="AD11" s="57">
        <v>0</v>
      </c>
    </row>
    <row r="12" spans="1:39" x14ac:dyDescent="0.3">
      <c r="A12" s="1">
        <v>1601</v>
      </c>
      <c r="B12" s="2" t="s">
        <v>118</v>
      </c>
      <c r="C12" s="14"/>
      <c r="D12" s="14"/>
      <c r="E12" s="6"/>
      <c r="I12" s="5"/>
      <c r="L12" s="5"/>
      <c r="M12" s="14"/>
      <c r="N12" s="6"/>
      <c r="Q12" s="6">
        <v>500</v>
      </c>
      <c r="R12" s="6">
        <f t="shared" ref="R12" si="5">(Q12/8)*12</f>
        <v>750</v>
      </c>
      <c r="U12" s="5"/>
      <c r="V12" s="5"/>
      <c r="W12" s="5">
        <f t="shared" si="2"/>
        <v>0</v>
      </c>
      <c r="X12" s="57"/>
      <c r="Y12" s="6"/>
      <c r="Z12" s="6">
        <v>750</v>
      </c>
      <c r="AA12" s="6">
        <f t="shared" si="3"/>
        <v>750</v>
      </c>
      <c r="AB12" s="57">
        <v>785</v>
      </c>
      <c r="AC12" s="6">
        <v>2500</v>
      </c>
      <c r="AD12" s="57">
        <v>750</v>
      </c>
    </row>
    <row r="13" spans="1:39" x14ac:dyDescent="0.3">
      <c r="A13" s="1">
        <v>1689</v>
      </c>
      <c r="B13" s="2" t="s">
        <v>7</v>
      </c>
      <c r="C13" s="14">
        <v>0</v>
      </c>
      <c r="D13" s="14">
        <v>8709.9</v>
      </c>
      <c r="E13" s="6">
        <v>8463.65</v>
      </c>
      <c r="F13" s="14">
        <v>7287.61</v>
      </c>
      <c r="G13" s="5">
        <v>5294.24</v>
      </c>
      <c r="H13" s="5">
        <v>7250</v>
      </c>
      <c r="I13" s="5">
        <v>6000</v>
      </c>
      <c r="J13" s="14">
        <v>6725</v>
      </c>
      <c r="K13" s="3">
        <f t="shared" si="4"/>
        <v>6000</v>
      </c>
      <c r="L13" s="5">
        <f t="shared" si="0"/>
        <v>-1250</v>
      </c>
      <c r="M13" s="14">
        <v>6836.88</v>
      </c>
      <c r="N13" s="6">
        <v>7000</v>
      </c>
      <c r="O13" s="5">
        <v>5047.97</v>
      </c>
      <c r="P13" s="5">
        <v>6500</v>
      </c>
      <c r="Q13" s="6">
        <v>7620.04</v>
      </c>
      <c r="R13" s="6">
        <v>12000</v>
      </c>
      <c r="U13" s="5"/>
      <c r="V13" s="5">
        <f t="shared" si="1"/>
        <v>0</v>
      </c>
      <c r="W13" s="5">
        <f t="shared" si="2"/>
        <v>0</v>
      </c>
      <c r="X13" s="57"/>
      <c r="Y13" s="6">
        <v>7000</v>
      </c>
      <c r="Z13" s="6">
        <v>14270.12</v>
      </c>
      <c r="AA13" s="6">
        <f t="shared" si="3"/>
        <v>12000</v>
      </c>
      <c r="AB13" s="57">
        <v>6714</v>
      </c>
      <c r="AC13" s="6">
        <v>6000</v>
      </c>
      <c r="AD13" s="57">
        <v>0</v>
      </c>
    </row>
    <row r="14" spans="1:39" x14ac:dyDescent="0.3">
      <c r="A14" s="1">
        <v>2110</v>
      </c>
      <c r="B14" s="2" t="s">
        <v>8</v>
      </c>
      <c r="C14" s="14">
        <v>5595.03</v>
      </c>
      <c r="D14" s="14">
        <v>10582.35</v>
      </c>
      <c r="E14" s="6">
        <v>5488.01</v>
      </c>
      <c r="F14" s="14">
        <v>4490</v>
      </c>
      <c r="G14" s="5">
        <v>4046.06</v>
      </c>
      <c r="H14" s="5">
        <v>4500</v>
      </c>
      <c r="I14" s="5">
        <v>5000</v>
      </c>
      <c r="J14" s="14">
        <v>4046.06</v>
      </c>
      <c r="K14" s="3">
        <f t="shared" si="4"/>
        <v>5000</v>
      </c>
      <c r="L14" s="5">
        <f t="shared" si="0"/>
        <v>500</v>
      </c>
      <c r="M14" s="14">
        <v>2957.55</v>
      </c>
      <c r="N14" s="6">
        <v>5000</v>
      </c>
      <c r="O14" s="5">
        <v>2207.5500000000002</v>
      </c>
      <c r="P14" s="5">
        <v>3000</v>
      </c>
      <c r="Q14" s="6">
        <v>0</v>
      </c>
      <c r="R14" s="6">
        <v>0</v>
      </c>
      <c r="U14" s="5"/>
      <c r="V14" s="5">
        <f t="shared" si="1"/>
        <v>0</v>
      </c>
      <c r="W14" s="5">
        <f t="shared" si="2"/>
        <v>0</v>
      </c>
      <c r="X14" s="57"/>
      <c r="Y14" s="6">
        <v>0</v>
      </c>
      <c r="Z14" s="6">
        <v>0</v>
      </c>
      <c r="AA14" s="6">
        <f t="shared" si="3"/>
        <v>0</v>
      </c>
      <c r="AB14" s="57"/>
      <c r="AC14" s="6">
        <v>0</v>
      </c>
      <c r="AD14" s="57">
        <v>0</v>
      </c>
    </row>
    <row r="15" spans="1:39" x14ac:dyDescent="0.3">
      <c r="A15" s="1">
        <v>2115</v>
      </c>
      <c r="B15" s="2" t="s">
        <v>89</v>
      </c>
      <c r="C15" s="14"/>
      <c r="D15" s="14"/>
      <c r="E15" s="6">
        <v>20000</v>
      </c>
      <c r="H15" s="5">
        <f>G15/9.5*12</f>
        <v>0</v>
      </c>
      <c r="I15" s="5"/>
      <c r="K15" s="3">
        <f t="shared" si="4"/>
        <v>0</v>
      </c>
      <c r="L15" s="5">
        <f t="shared" si="0"/>
        <v>0</v>
      </c>
      <c r="M15" s="14"/>
      <c r="N15" s="6">
        <v>0</v>
      </c>
      <c r="R15" s="6">
        <v>0</v>
      </c>
      <c r="U15" s="5"/>
      <c r="V15" s="5">
        <f t="shared" si="1"/>
        <v>0</v>
      </c>
      <c r="W15" s="5">
        <f t="shared" si="2"/>
        <v>0</v>
      </c>
      <c r="X15" s="57"/>
      <c r="Y15" s="6">
        <v>0</v>
      </c>
      <c r="Z15" s="6">
        <v>0</v>
      </c>
      <c r="AA15" s="6">
        <f t="shared" si="3"/>
        <v>0</v>
      </c>
      <c r="AB15" s="57"/>
      <c r="AC15" s="6">
        <v>0</v>
      </c>
      <c r="AD15" s="57">
        <v>0</v>
      </c>
    </row>
    <row r="16" spans="1:39" x14ac:dyDescent="0.3">
      <c r="A16" s="1">
        <v>2115</v>
      </c>
      <c r="B16" s="2" t="s">
        <v>144</v>
      </c>
      <c r="C16" s="14"/>
      <c r="D16" s="14"/>
      <c r="E16" s="6"/>
      <c r="I16" s="5"/>
      <c r="L16" s="5"/>
      <c r="M16" s="14"/>
      <c r="N16" s="6"/>
      <c r="U16" s="5"/>
      <c r="V16" s="5"/>
      <c r="W16" s="5"/>
      <c r="X16" s="57"/>
      <c r="Y16" s="6"/>
      <c r="Z16" s="6"/>
      <c r="AA16" s="6"/>
      <c r="AB16" s="57">
        <v>1800</v>
      </c>
      <c r="AC16" s="6"/>
      <c r="AD16" s="57">
        <v>0</v>
      </c>
    </row>
    <row r="17" spans="1:32" x14ac:dyDescent="0.3">
      <c r="A17" s="1">
        <v>2123</v>
      </c>
      <c r="B17" s="2" t="s">
        <v>145</v>
      </c>
      <c r="C17" s="14"/>
      <c r="D17" s="14"/>
      <c r="E17" s="6"/>
      <c r="I17" s="5"/>
      <c r="L17" s="5"/>
      <c r="M17" s="14"/>
      <c r="N17" s="6"/>
      <c r="U17" s="5"/>
      <c r="V17" s="5"/>
      <c r="W17" s="5"/>
      <c r="X17" s="57"/>
      <c r="Y17" s="6"/>
      <c r="Z17" s="6"/>
      <c r="AA17" s="6"/>
      <c r="AB17" s="57">
        <v>250</v>
      </c>
      <c r="AC17" s="6"/>
      <c r="AD17" s="57">
        <v>0</v>
      </c>
    </row>
    <row r="18" spans="1:32" x14ac:dyDescent="0.3">
      <c r="A18" s="1">
        <v>2189</v>
      </c>
      <c r="B18" s="2" t="s">
        <v>119</v>
      </c>
      <c r="C18" s="14"/>
      <c r="D18" s="14"/>
      <c r="E18" s="6"/>
      <c r="I18" s="5"/>
      <c r="L18" s="5"/>
      <c r="M18" s="14"/>
      <c r="N18" s="6"/>
      <c r="Q18" s="6">
        <v>6650</v>
      </c>
      <c r="R18" s="6">
        <v>7000</v>
      </c>
      <c r="U18" s="5"/>
      <c r="V18" s="5"/>
      <c r="W18" s="5">
        <f t="shared" si="2"/>
        <v>0</v>
      </c>
      <c r="X18" s="57"/>
      <c r="Y18" s="6"/>
      <c r="Z18" s="6">
        <v>9650</v>
      </c>
      <c r="AA18" s="6">
        <f t="shared" si="3"/>
        <v>7000</v>
      </c>
      <c r="AB18" s="57">
        <v>13900</v>
      </c>
      <c r="AC18" s="6">
        <v>0</v>
      </c>
      <c r="AD18" s="57">
        <v>7000</v>
      </c>
    </row>
    <row r="19" spans="1:32" x14ac:dyDescent="0.3">
      <c r="A19" s="1">
        <v>2401</v>
      </c>
      <c r="B19" s="2" t="s">
        <v>9</v>
      </c>
      <c r="C19" s="14">
        <v>4622.87</v>
      </c>
      <c r="D19" s="14">
        <v>2985.13</v>
      </c>
      <c r="E19" s="6">
        <v>2846.19</v>
      </c>
      <c r="F19" s="14">
        <v>2796.7</v>
      </c>
      <c r="G19" s="5">
        <v>2256.88</v>
      </c>
      <c r="H19" s="5">
        <v>2500</v>
      </c>
      <c r="I19" s="5">
        <v>3000</v>
      </c>
      <c r="J19" s="14">
        <v>2879.77</v>
      </c>
      <c r="K19" s="3">
        <f t="shared" si="4"/>
        <v>3000</v>
      </c>
      <c r="L19" s="5">
        <f t="shared" si="0"/>
        <v>500</v>
      </c>
      <c r="M19" s="14">
        <v>3831.78</v>
      </c>
      <c r="N19" s="6">
        <v>3500</v>
      </c>
      <c r="O19" s="5">
        <v>2732.58</v>
      </c>
      <c r="P19" s="5">
        <v>3200</v>
      </c>
      <c r="Q19" s="6">
        <v>3173.91</v>
      </c>
      <c r="R19" s="6">
        <v>4800</v>
      </c>
      <c r="U19" s="5"/>
      <c r="V19" s="5">
        <f t="shared" si="1"/>
        <v>0</v>
      </c>
      <c r="W19" s="5">
        <f t="shared" si="2"/>
        <v>0</v>
      </c>
      <c r="X19" s="57"/>
      <c r="Y19" s="6">
        <v>4755</v>
      </c>
      <c r="Z19" s="6">
        <v>4283.16</v>
      </c>
      <c r="AA19" s="6">
        <f t="shared" si="3"/>
        <v>4800</v>
      </c>
      <c r="AB19" s="57">
        <v>4079</v>
      </c>
      <c r="AC19" s="6">
        <v>3000</v>
      </c>
      <c r="AD19" s="57">
        <v>4000</v>
      </c>
    </row>
    <row r="20" spans="1:32" x14ac:dyDescent="0.3">
      <c r="A20" s="1">
        <v>2501</v>
      </c>
      <c r="B20" s="2" t="s">
        <v>10</v>
      </c>
      <c r="C20" s="14">
        <v>200</v>
      </c>
      <c r="D20" s="14">
        <v>200</v>
      </c>
      <c r="E20" s="6">
        <v>200</v>
      </c>
      <c r="F20" s="14">
        <v>200</v>
      </c>
      <c r="G20" s="5">
        <v>100</v>
      </c>
      <c r="H20" s="5">
        <v>100</v>
      </c>
      <c r="I20" s="5">
        <v>100</v>
      </c>
      <c r="J20" s="14">
        <v>200</v>
      </c>
      <c r="K20" s="3">
        <f t="shared" si="4"/>
        <v>100</v>
      </c>
      <c r="L20" s="5">
        <f t="shared" si="0"/>
        <v>0</v>
      </c>
      <c r="M20" s="14">
        <v>200</v>
      </c>
      <c r="N20" s="6">
        <v>100</v>
      </c>
      <c r="P20" s="5">
        <f>+K20</f>
        <v>100</v>
      </c>
      <c r="Q20" s="6">
        <v>500</v>
      </c>
      <c r="R20" s="6">
        <f t="shared" ref="R20:R40" si="6">(Q20/8)*12</f>
        <v>750</v>
      </c>
      <c r="U20" s="5"/>
      <c r="V20" s="5">
        <f t="shared" si="1"/>
        <v>0</v>
      </c>
      <c r="W20" s="5">
        <f t="shared" si="2"/>
        <v>0</v>
      </c>
      <c r="X20" s="57"/>
      <c r="Y20" s="6">
        <v>0</v>
      </c>
      <c r="Z20" s="6">
        <v>2600</v>
      </c>
      <c r="AA20" s="6">
        <f t="shared" si="3"/>
        <v>750</v>
      </c>
      <c r="AB20" s="57">
        <v>1700</v>
      </c>
      <c r="AC20" s="6">
        <v>100</v>
      </c>
      <c r="AD20" s="57">
        <v>1000</v>
      </c>
    </row>
    <row r="21" spans="1:32" x14ac:dyDescent="0.3">
      <c r="A21" s="1">
        <v>2555</v>
      </c>
      <c r="B21" s="2" t="s">
        <v>11</v>
      </c>
      <c r="C21" s="14">
        <v>109625.9</v>
      </c>
      <c r="D21" s="14">
        <v>193095.7</v>
      </c>
      <c r="E21" s="6">
        <v>188920.5</v>
      </c>
      <c r="F21" s="14">
        <v>162070.81</v>
      </c>
      <c r="G21" s="5">
        <v>164306.04</v>
      </c>
      <c r="H21" s="5">
        <v>180000</v>
      </c>
      <c r="I21" s="5">
        <v>180000</v>
      </c>
      <c r="J21" s="14">
        <v>202179.04</v>
      </c>
      <c r="K21" s="3">
        <v>160000</v>
      </c>
      <c r="L21" s="5">
        <f t="shared" si="0"/>
        <v>-20000</v>
      </c>
      <c r="M21" s="14">
        <v>302305.44</v>
      </c>
      <c r="N21" s="6">
        <v>200000</v>
      </c>
      <c r="O21" s="5">
        <v>205987.24</v>
      </c>
      <c r="P21" s="5">
        <v>250000</v>
      </c>
      <c r="Q21" s="6">
        <v>113520.72</v>
      </c>
      <c r="R21" s="6">
        <v>150000</v>
      </c>
      <c r="U21" s="5"/>
      <c r="V21" s="5">
        <f t="shared" si="1"/>
        <v>0</v>
      </c>
      <c r="W21" s="5">
        <f t="shared" si="2"/>
        <v>0</v>
      </c>
      <c r="X21" s="57"/>
      <c r="Y21" s="6">
        <v>250000</v>
      </c>
      <c r="Z21" s="6">
        <f>149297.72+15000</f>
        <v>164297.72</v>
      </c>
      <c r="AA21" s="6">
        <v>175000</v>
      </c>
      <c r="AB21" s="57">
        <v>229852</v>
      </c>
      <c r="AC21" s="6">
        <v>160000</v>
      </c>
      <c r="AD21" s="57">
        <v>200000</v>
      </c>
      <c r="AF21" s="2" t="s">
        <v>140</v>
      </c>
    </row>
    <row r="22" spans="1:32" x14ac:dyDescent="0.3">
      <c r="A22" s="1">
        <v>2560</v>
      </c>
      <c r="B22" s="2" t="s">
        <v>12</v>
      </c>
      <c r="C22" s="14">
        <v>13560</v>
      </c>
      <c r="D22" s="14">
        <v>10860</v>
      </c>
      <c r="E22" s="6">
        <v>9620</v>
      </c>
      <c r="F22" s="14">
        <v>8000</v>
      </c>
      <c r="G22" s="5">
        <v>8500</v>
      </c>
      <c r="H22" s="5">
        <v>8500</v>
      </c>
      <c r="I22" s="5"/>
      <c r="J22" s="14">
        <v>7400</v>
      </c>
      <c r="K22" s="3">
        <v>0</v>
      </c>
      <c r="L22" s="5">
        <f t="shared" si="0"/>
        <v>-8500</v>
      </c>
      <c r="M22" s="14">
        <v>8500</v>
      </c>
      <c r="N22" s="6">
        <v>9000</v>
      </c>
      <c r="O22" s="5">
        <v>8000</v>
      </c>
      <c r="P22" s="5">
        <v>9000</v>
      </c>
      <c r="Q22" s="6">
        <v>5500</v>
      </c>
      <c r="R22" s="6">
        <v>8000</v>
      </c>
      <c r="U22" s="5"/>
      <c r="V22" s="5">
        <f t="shared" si="1"/>
        <v>0</v>
      </c>
      <c r="W22" s="5">
        <f t="shared" si="2"/>
        <v>0</v>
      </c>
      <c r="X22" s="57"/>
      <c r="Y22" s="6">
        <v>4500</v>
      </c>
      <c r="Z22" s="6">
        <v>19500</v>
      </c>
      <c r="AA22" s="6">
        <f t="shared" ref="AA22:AA40" si="7">R22</f>
        <v>8000</v>
      </c>
      <c r="AB22" s="57">
        <f>6500-2500</f>
        <v>4000</v>
      </c>
      <c r="AC22" s="6">
        <v>5000</v>
      </c>
      <c r="AD22" s="57">
        <v>5000</v>
      </c>
    </row>
    <row r="23" spans="1:32" hidden="1" x14ac:dyDescent="0.3">
      <c r="A23" s="1">
        <v>2561</v>
      </c>
      <c r="B23" s="2" t="s">
        <v>13</v>
      </c>
      <c r="C23" s="14">
        <v>9000</v>
      </c>
      <c r="D23" s="14">
        <v>-5000</v>
      </c>
      <c r="E23" s="6">
        <v>12500</v>
      </c>
      <c r="H23" s="5">
        <f>G23/9.5*12</f>
        <v>0</v>
      </c>
      <c r="I23" s="5"/>
      <c r="K23" s="3">
        <f>+I23</f>
        <v>0</v>
      </c>
      <c r="L23" s="5">
        <f t="shared" si="0"/>
        <v>0</v>
      </c>
      <c r="M23" s="14"/>
      <c r="N23" s="6">
        <v>0</v>
      </c>
      <c r="R23" s="6">
        <f>(Q23/8)*12</f>
        <v>0</v>
      </c>
      <c r="U23" s="5"/>
      <c r="V23" s="5">
        <f t="shared" si="1"/>
        <v>0</v>
      </c>
      <c r="W23" s="5">
        <f t="shared" si="2"/>
        <v>0</v>
      </c>
      <c r="X23" s="57"/>
      <c r="Y23" s="6">
        <v>0</v>
      </c>
      <c r="Z23" s="6"/>
      <c r="AA23" s="6">
        <f t="shared" si="7"/>
        <v>0</v>
      </c>
      <c r="AB23" s="57"/>
      <c r="AC23" s="6">
        <v>0</v>
      </c>
      <c r="AD23" s="57"/>
    </row>
    <row r="24" spans="1:32" x14ac:dyDescent="0.3">
      <c r="A24" s="1">
        <v>2565</v>
      </c>
      <c r="B24" s="2" t="s">
        <v>120</v>
      </c>
      <c r="C24" s="14"/>
      <c r="D24" s="14"/>
      <c r="E24" s="6"/>
      <c r="I24" s="5"/>
      <c r="L24" s="5"/>
      <c r="M24" s="14"/>
      <c r="N24" s="6"/>
      <c r="Q24" s="6">
        <v>0</v>
      </c>
      <c r="R24" s="6">
        <f t="shared" si="6"/>
        <v>0</v>
      </c>
      <c r="U24" s="5"/>
      <c r="V24" s="5"/>
      <c r="W24" s="5">
        <f t="shared" si="2"/>
        <v>0</v>
      </c>
      <c r="X24" s="57"/>
      <c r="Y24" s="6">
        <v>0</v>
      </c>
      <c r="Z24" s="6">
        <v>0</v>
      </c>
      <c r="AA24" s="6">
        <f t="shared" si="7"/>
        <v>0</v>
      </c>
      <c r="AB24" s="57">
        <v>550</v>
      </c>
      <c r="AC24" s="6">
        <v>3000</v>
      </c>
      <c r="AD24" s="57">
        <v>3000</v>
      </c>
    </row>
    <row r="25" spans="1:32" x14ac:dyDescent="0.3">
      <c r="A25" s="1">
        <v>2590</v>
      </c>
      <c r="B25" s="2" t="s">
        <v>98</v>
      </c>
      <c r="C25" s="14">
        <v>0</v>
      </c>
      <c r="D25" s="14">
        <v>0</v>
      </c>
      <c r="E25" s="6">
        <v>0</v>
      </c>
      <c r="F25" s="14">
        <v>0</v>
      </c>
      <c r="I25" s="5"/>
      <c r="J25" s="14">
        <v>500</v>
      </c>
      <c r="K25" s="3">
        <v>0</v>
      </c>
      <c r="L25" s="5"/>
      <c r="M25" s="14">
        <v>21050</v>
      </c>
      <c r="N25" s="6">
        <v>0</v>
      </c>
      <c r="Q25" s="6">
        <v>8650</v>
      </c>
      <c r="R25" s="6">
        <v>10000</v>
      </c>
      <c r="U25" s="5"/>
      <c r="V25" s="5">
        <f t="shared" si="1"/>
        <v>0</v>
      </c>
      <c r="W25" s="5">
        <f t="shared" si="2"/>
        <v>0</v>
      </c>
      <c r="X25" s="57"/>
      <c r="Y25" s="6">
        <v>4500</v>
      </c>
      <c r="Z25" s="6">
        <f>19150-15000</f>
        <v>4150</v>
      </c>
      <c r="AA25" s="6">
        <f t="shared" si="7"/>
        <v>10000</v>
      </c>
      <c r="AB25" s="57">
        <v>12675</v>
      </c>
      <c r="AC25" s="6">
        <v>10400</v>
      </c>
      <c r="AD25" s="57">
        <v>11000</v>
      </c>
    </row>
    <row r="26" spans="1:32" x14ac:dyDescent="0.3">
      <c r="A26" s="1">
        <v>2594</v>
      </c>
      <c r="B26" s="2" t="s">
        <v>14</v>
      </c>
      <c r="C26" s="14">
        <v>8375</v>
      </c>
      <c r="D26" s="14">
        <v>8000</v>
      </c>
      <c r="E26" s="6">
        <v>8500</v>
      </c>
      <c r="F26" s="14">
        <v>10170</v>
      </c>
      <c r="G26" s="5">
        <v>18725</v>
      </c>
      <c r="H26" s="5">
        <f>+G26</f>
        <v>18725</v>
      </c>
      <c r="I26" s="5">
        <v>15000</v>
      </c>
      <c r="J26" s="14">
        <v>21950</v>
      </c>
      <c r="K26" s="3">
        <v>12500</v>
      </c>
      <c r="L26" s="5">
        <f t="shared" ref="L26:L41" si="8">+K26-H26</f>
        <v>-6225</v>
      </c>
      <c r="M26" s="14">
        <v>0</v>
      </c>
      <c r="N26" s="6">
        <v>14000</v>
      </c>
      <c r="O26" s="5">
        <v>12000</v>
      </c>
      <c r="P26" s="5">
        <v>14000</v>
      </c>
      <c r="Q26" s="6">
        <v>1275</v>
      </c>
      <c r="R26" s="6">
        <v>2000</v>
      </c>
      <c r="U26" s="5"/>
      <c r="V26" s="5">
        <f t="shared" si="1"/>
        <v>0</v>
      </c>
      <c r="W26" s="5">
        <f t="shared" si="2"/>
        <v>0</v>
      </c>
      <c r="X26" s="57"/>
      <c r="Y26" s="6">
        <v>1000</v>
      </c>
      <c r="Z26" s="6">
        <v>-1950</v>
      </c>
      <c r="AA26" s="6">
        <f t="shared" si="7"/>
        <v>2000</v>
      </c>
      <c r="AB26" s="57">
        <v>-425</v>
      </c>
      <c r="AC26" s="6">
        <v>2000</v>
      </c>
      <c r="AD26" s="57">
        <v>500</v>
      </c>
    </row>
    <row r="27" spans="1:32" x14ac:dyDescent="0.3">
      <c r="A27" s="1">
        <v>2595</v>
      </c>
      <c r="B27" s="2" t="s">
        <v>87</v>
      </c>
      <c r="C27" s="14"/>
      <c r="D27" s="14"/>
      <c r="E27" s="6"/>
      <c r="F27" s="14">
        <v>2500</v>
      </c>
      <c r="H27" s="5">
        <f>G27/9.5*12</f>
        <v>0</v>
      </c>
      <c r="I27" s="5"/>
      <c r="J27" s="14">
        <v>0</v>
      </c>
      <c r="K27" s="3">
        <f t="shared" ref="K27:K34" si="9">+I27</f>
        <v>0</v>
      </c>
      <c r="L27" s="5">
        <f t="shared" si="8"/>
        <v>0</v>
      </c>
      <c r="M27" s="14">
        <v>0</v>
      </c>
      <c r="N27" s="6">
        <v>0</v>
      </c>
      <c r="Q27" s="6">
        <v>0</v>
      </c>
      <c r="R27" s="6">
        <v>0</v>
      </c>
      <c r="U27" s="5"/>
      <c r="V27" s="5">
        <f t="shared" si="1"/>
        <v>0</v>
      </c>
      <c r="W27" s="5">
        <f t="shared" si="2"/>
        <v>0</v>
      </c>
      <c r="X27" s="57"/>
      <c r="Y27" s="6">
        <v>0</v>
      </c>
      <c r="Z27" s="6">
        <v>2475</v>
      </c>
      <c r="AA27" s="6">
        <f t="shared" si="7"/>
        <v>0</v>
      </c>
      <c r="AB27" s="57">
        <v>5000</v>
      </c>
      <c r="AC27" s="6">
        <v>0</v>
      </c>
      <c r="AD27" s="57">
        <v>0</v>
      </c>
    </row>
    <row r="28" spans="1:32" x14ac:dyDescent="0.3">
      <c r="A28" s="1">
        <v>2610</v>
      </c>
      <c r="B28" s="2" t="s">
        <v>15</v>
      </c>
      <c r="C28" s="14">
        <v>56630</v>
      </c>
      <c r="D28" s="14">
        <v>67080</v>
      </c>
      <c r="E28" s="6">
        <v>73872</v>
      </c>
      <c r="F28" s="14">
        <v>97149.78</v>
      </c>
      <c r="G28" s="5">
        <v>66471</v>
      </c>
      <c r="H28" s="5">
        <f>+G28+16000</f>
        <v>82471</v>
      </c>
      <c r="I28" s="5">
        <v>80000</v>
      </c>
      <c r="J28" s="14">
        <v>93700</v>
      </c>
      <c r="K28" s="3">
        <f t="shared" si="9"/>
        <v>80000</v>
      </c>
      <c r="L28" s="5">
        <f t="shared" si="8"/>
        <v>-2471</v>
      </c>
      <c r="M28" s="14">
        <v>74295</v>
      </c>
      <c r="N28" s="6">
        <v>80000</v>
      </c>
      <c r="O28" s="5">
        <v>52925</v>
      </c>
      <c r="P28" s="5">
        <f>+O28+27000</f>
        <v>79925</v>
      </c>
      <c r="Q28" s="6">
        <v>64051</v>
      </c>
      <c r="R28" s="6">
        <v>90000</v>
      </c>
      <c r="U28" s="5"/>
      <c r="V28" s="5">
        <f t="shared" si="1"/>
        <v>0</v>
      </c>
      <c r="W28" s="5">
        <f t="shared" si="2"/>
        <v>0</v>
      </c>
      <c r="X28" s="57"/>
      <c r="Y28" s="6">
        <v>80000</v>
      </c>
      <c r="Z28" s="6">
        <v>120305</v>
      </c>
      <c r="AA28" s="6">
        <f t="shared" si="7"/>
        <v>90000</v>
      </c>
      <c r="AB28" s="57">
        <v>49728</v>
      </c>
      <c r="AC28" s="6">
        <v>80000</v>
      </c>
      <c r="AD28" s="57">
        <v>45000</v>
      </c>
    </row>
    <row r="29" spans="1:32" x14ac:dyDescent="0.3">
      <c r="A29" s="1">
        <v>2655</v>
      </c>
      <c r="B29" s="2" t="s">
        <v>146</v>
      </c>
      <c r="C29" s="14"/>
      <c r="D29" s="14"/>
      <c r="E29" s="6"/>
      <c r="I29" s="5"/>
      <c r="L29" s="5"/>
      <c r="M29" s="14"/>
      <c r="N29" s="6"/>
      <c r="U29" s="5"/>
      <c r="V29" s="5"/>
      <c r="W29" s="5"/>
      <c r="X29" s="57"/>
      <c r="Y29" s="6"/>
      <c r="Z29" s="6"/>
      <c r="AA29" s="6"/>
      <c r="AB29" s="57">
        <v>-1927</v>
      </c>
      <c r="AC29" s="6"/>
      <c r="AD29" s="57">
        <v>0</v>
      </c>
    </row>
    <row r="30" spans="1:32" x14ac:dyDescent="0.3">
      <c r="A30" s="1">
        <v>2665</v>
      </c>
      <c r="B30" s="2" t="s">
        <v>84</v>
      </c>
      <c r="C30" s="14">
        <v>3400</v>
      </c>
      <c r="D30" s="14">
        <v>0</v>
      </c>
      <c r="E30" s="14">
        <v>0</v>
      </c>
      <c r="F30" s="14">
        <v>0</v>
      </c>
      <c r="H30" s="5">
        <f>G30/9.5*12</f>
        <v>0</v>
      </c>
      <c r="I30" s="5"/>
      <c r="J30" s="14">
        <v>0</v>
      </c>
      <c r="K30" s="3">
        <f>+I30</f>
        <v>0</v>
      </c>
      <c r="L30" s="5">
        <f>+K30-H30</f>
        <v>0</v>
      </c>
      <c r="M30" s="14">
        <v>0</v>
      </c>
      <c r="N30" s="6">
        <v>0</v>
      </c>
      <c r="Q30" s="6">
        <v>50</v>
      </c>
      <c r="R30" s="6">
        <f>(Q30/8)*12</f>
        <v>75</v>
      </c>
      <c r="U30" s="5"/>
      <c r="V30" s="5">
        <f>SUM(T30:U30)</f>
        <v>0</v>
      </c>
      <c r="W30" s="5">
        <f>V30</f>
        <v>0</v>
      </c>
      <c r="X30" s="57"/>
      <c r="Y30" s="6">
        <v>0</v>
      </c>
      <c r="Z30" s="6">
        <v>0</v>
      </c>
      <c r="AA30" s="6">
        <f>R30</f>
        <v>75</v>
      </c>
      <c r="AB30" s="57"/>
      <c r="AC30" s="6">
        <v>0</v>
      </c>
      <c r="AD30" s="57">
        <v>0</v>
      </c>
    </row>
    <row r="31" spans="1:32" x14ac:dyDescent="0.3">
      <c r="A31" s="1">
        <v>2680</v>
      </c>
      <c r="B31" s="2" t="s">
        <v>117</v>
      </c>
      <c r="C31" s="14"/>
      <c r="D31" s="14">
        <v>8672.2800000000007</v>
      </c>
      <c r="E31" s="14"/>
      <c r="F31" s="14">
        <v>0</v>
      </c>
      <c r="I31" s="5"/>
      <c r="J31" s="14">
        <v>0</v>
      </c>
      <c r="L31" s="5"/>
      <c r="M31" s="14">
        <v>0</v>
      </c>
      <c r="N31" s="6"/>
      <c r="Q31" s="6">
        <v>0</v>
      </c>
      <c r="R31" s="6">
        <f t="shared" si="6"/>
        <v>0</v>
      </c>
      <c r="U31" s="5"/>
      <c r="V31" s="5"/>
      <c r="W31" s="5">
        <f t="shared" si="2"/>
        <v>0</v>
      </c>
      <c r="X31" s="57"/>
      <c r="Y31" s="6"/>
      <c r="Z31" s="6">
        <v>2250</v>
      </c>
      <c r="AA31" s="6">
        <f t="shared" si="7"/>
        <v>0</v>
      </c>
      <c r="AB31" s="57"/>
      <c r="AC31" s="6">
        <v>0</v>
      </c>
      <c r="AD31" s="57">
        <v>0</v>
      </c>
    </row>
    <row r="32" spans="1:32" x14ac:dyDescent="0.3">
      <c r="A32" s="1">
        <v>2690</v>
      </c>
      <c r="B32" s="2" t="s">
        <v>147</v>
      </c>
      <c r="C32" s="14"/>
      <c r="D32" s="14"/>
      <c r="E32" s="14"/>
      <c r="I32" s="5"/>
      <c r="L32" s="5"/>
      <c r="M32" s="14"/>
      <c r="N32" s="6"/>
      <c r="U32" s="5"/>
      <c r="V32" s="5"/>
      <c r="W32" s="5"/>
      <c r="X32" s="57"/>
      <c r="Y32" s="6"/>
      <c r="Z32" s="6"/>
      <c r="AA32" s="6"/>
      <c r="AB32" s="57">
        <v>4275</v>
      </c>
      <c r="AC32" s="6"/>
      <c r="AD32" s="57">
        <v>0</v>
      </c>
    </row>
    <row r="33" spans="1:30" x14ac:dyDescent="0.3">
      <c r="A33" s="1">
        <v>2701</v>
      </c>
      <c r="B33" s="2" t="s">
        <v>222</v>
      </c>
      <c r="C33" s="14"/>
      <c r="D33" s="14"/>
      <c r="E33" s="14"/>
      <c r="I33" s="5"/>
      <c r="L33" s="5"/>
      <c r="M33" s="14"/>
      <c r="N33" s="6"/>
      <c r="U33" s="5"/>
      <c r="V33" s="5"/>
      <c r="W33" s="5"/>
      <c r="X33" s="57"/>
      <c r="Y33" s="6"/>
      <c r="Z33" s="6"/>
      <c r="AA33" s="6"/>
      <c r="AB33" s="57"/>
      <c r="AC33" s="6"/>
      <c r="AD33" s="57">
        <v>0</v>
      </c>
    </row>
    <row r="34" spans="1:30" x14ac:dyDescent="0.3">
      <c r="A34" s="1">
        <v>2705</v>
      </c>
      <c r="B34" s="2" t="s">
        <v>16</v>
      </c>
      <c r="C34" s="14">
        <v>0</v>
      </c>
      <c r="D34" s="14">
        <v>33000</v>
      </c>
      <c r="E34" s="14">
        <v>0</v>
      </c>
      <c r="F34" s="14">
        <v>44300</v>
      </c>
      <c r="G34" s="5">
        <v>1307.8900000000001</v>
      </c>
      <c r="H34" s="5">
        <f>+G34</f>
        <v>1307.8900000000001</v>
      </c>
      <c r="I34" s="5"/>
      <c r="J34" s="14">
        <v>1307.8900000000001</v>
      </c>
      <c r="K34" s="3">
        <f t="shared" si="9"/>
        <v>0</v>
      </c>
      <c r="L34" s="5">
        <f t="shared" si="8"/>
        <v>-1307.8900000000001</v>
      </c>
      <c r="M34" s="14">
        <v>0</v>
      </c>
      <c r="N34" s="6">
        <v>0</v>
      </c>
      <c r="P34" s="5">
        <v>0</v>
      </c>
      <c r="Q34" s="6">
        <v>0</v>
      </c>
      <c r="R34" s="6">
        <f t="shared" si="6"/>
        <v>0</v>
      </c>
      <c r="U34" s="5"/>
      <c r="V34" s="5">
        <f t="shared" si="1"/>
        <v>0</v>
      </c>
      <c r="W34" s="5">
        <f t="shared" si="2"/>
        <v>0</v>
      </c>
      <c r="X34" s="57"/>
      <c r="Y34" s="6">
        <v>0</v>
      </c>
      <c r="Z34" s="6">
        <v>0</v>
      </c>
      <c r="AA34" s="6">
        <f t="shared" si="7"/>
        <v>0</v>
      </c>
      <c r="AB34" s="57">
        <v>1400</v>
      </c>
      <c r="AC34" s="6">
        <v>0</v>
      </c>
      <c r="AD34" s="57">
        <v>0</v>
      </c>
    </row>
    <row r="35" spans="1:30" x14ac:dyDescent="0.3">
      <c r="A35" s="1">
        <v>2770</v>
      </c>
      <c r="B35" s="2" t="s">
        <v>121</v>
      </c>
      <c r="C35" s="14"/>
      <c r="D35" s="14"/>
      <c r="E35" s="14">
        <v>0</v>
      </c>
      <c r="F35" s="14">
        <v>0</v>
      </c>
      <c r="I35" s="5"/>
      <c r="J35" s="14">
        <v>0</v>
      </c>
      <c r="L35" s="5"/>
      <c r="M35" s="14">
        <v>0</v>
      </c>
      <c r="N35" s="6"/>
      <c r="Q35" s="6">
        <v>320.74</v>
      </c>
      <c r="R35" s="6">
        <v>500</v>
      </c>
      <c r="U35" s="5"/>
      <c r="V35" s="5"/>
      <c r="W35" s="5">
        <f t="shared" si="2"/>
        <v>0</v>
      </c>
      <c r="X35" s="57"/>
      <c r="Y35" s="6">
        <v>0</v>
      </c>
      <c r="Z35" s="6">
        <v>0</v>
      </c>
      <c r="AA35" s="6">
        <f t="shared" si="7"/>
        <v>500</v>
      </c>
      <c r="AB35" s="57">
        <v>1720</v>
      </c>
      <c r="AC35" s="6">
        <v>0</v>
      </c>
      <c r="AD35" s="57">
        <v>500</v>
      </c>
    </row>
    <row r="36" spans="1:30" x14ac:dyDescent="0.3">
      <c r="A36" s="1">
        <v>2777</v>
      </c>
      <c r="B36" s="2" t="s">
        <v>17</v>
      </c>
      <c r="C36" s="14">
        <v>2551.5</v>
      </c>
      <c r="D36" s="14">
        <v>1925.59</v>
      </c>
      <c r="E36" s="14">
        <v>1248.31</v>
      </c>
      <c r="F36" s="14">
        <v>4020.57</v>
      </c>
      <c r="G36" s="5">
        <v>1874.6</v>
      </c>
      <c r="H36" s="5">
        <v>2000</v>
      </c>
      <c r="I36" s="5">
        <v>2500</v>
      </c>
      <c r="J36" s="14">
        <v>1949.6</v>
      </c>
      <c r="K36" s="3">
        <v>2000</v>
      </c>
      <c r="L36" s="5">
        <f t="shared" si="8"/>
        <v>0</v>
      </c>
      <c r="M36" s="14">
        <v>11664.16</v>
      </c>
      <c r="N36" s="6">
        <v>3000</v>
      </c>
      <c r="O36" s="5">
        <v>7142.19</v>
      </c>
      <c r="Q36" s="6">
        <v>326.35000000000002</v>
      </c>
      <c r="R36" s="6">
        <v>500</v>
      </c>
      <c r="U36" s="5"/>
      <c r="V36" s="5">
        <f t="shared" si="1"/>
        <v>0</v>
      </c>
      <c r="W36" s="5">
        <f t="shared" si="2"/>
        <v>0</v>
      </c>
      <c r="X36" s="57"/>
      <c r="Y36" s="6">
        <v>3000</v>
      </c>
      <c r="Z36" s="6">
        <v>172</v>
      </c>
      <c r="AA36" s="6">
        <f t="shared" si="7"/>
        <v>500</v>
      </c>
      <c r="AB36" s="57">
        <v>83</v>
      </c>
      <c r="AC36" s="6">
        <v>2000</v>
      </c>
      <c r="AD36" s="57">
        <v>500</v>
      </c>
    </row>
    <row r="37" spans="1:30" x14ac:dyDescent="0.3">
      <c r="A37" s="1">
        <v>3001</v>
      </c>
      <c r="B37" s="2" t="s">
        <v>18</v>
      </c>
      <c r="C37" s="14">
        <v>10547</v>
      </c>
      <c r="D37" s="14">
        <v>10547</v>
      </c>
      <c r="E37" s="14">
        <v>12694</v>
      </c>
      <c r="F37" s="14">
        <v>13410</v>
      </c>
      <c r="G37" s="5">
        <v>13413</v>
      </c>
      <c r="H37" s="5">
        <f>+G37</f>
        <v>13413</v>
      </c>
      <c r="I37" s="5">
        <v>13000</v>
      </c>
      <c r="J37" s="14">
        <v>13413</v>
      </c>
      <c r="K37" s="3">
        <f t="shared" ref="K37:K41" si="10">+I37</f>
        <v>13000</v>
      </c>
      <c r="L37" s="5">
        <f t="shared" si="8"/>
        <v>-413</v>
      </c>
      <c r="M37" s="14">
        <v>10547</v>
      </c>
      <c r="N37" s="6">
        <v>11000</v>
      </c>
      <c r="O37" s="5">
        <v>10547</v>
      </c>
      <c r="P37" s="5">
        <v>13000</v>
      </c>
      <c r="Q37" s="6">
        <v>10547</v>
      </c>
      <c r="R37" s="6">
        <v>11000</v>
      </c>
      <c r="U37" s="5"/>
      <c r="V37" s="5">
        <f t="shared" si="1"/>
        <v>0</v>
      </c>
      <c r="W37" s="5">
        <f t="shared" si="2"/>
        <v>0</v>
      </c>
      <c r="X37" s="57"/>
      <c r="Y37" s="6">
        <v>13000</v>
      </c>
      <c r="Z37" s="6">
        <v>10547</v>
      </c>
      <c r="AA37" s="6">
        <f t="shared" si="7"/>
        <v>11000</v>
      </c>
      <c r="AB37" s="57">
        <v>10547</v>
      </c>
      <c r="AC37" s="6">
        <v>13000</v>
      </c>
      <c r="AD37" s="57">
        <v>8438</v>
      </c>
    </row>
    <row r="38" spans="1:30" x14ac:dyDescent="0.3">
      <c r="A38" s="1">
        <v>3005</v>
      </c>
      <c r="B38" s="2" t="s">
        <v>19</v>
      </c>
      <c r="C38" s="14">
        <v>58152.22</v>
      </c>
      <c r="D38" s="14">
        <v>66678.34</v>
      </c>
      <c r="E38" s="14">
        <v>76352.990000000005</v>
      </c>
      <c r="F38" s="14">
        <v>70748.38</v>
      </c>
      <c r="G38" s="5">
        <v>64662.22</v>
      </c>
      <c r="H38" s="5">
        <v>65000</v>
      </c>
      <c r="I38" s="5">
        <v>70000</v>
      </c>
      <c r="J38" s="14">
        <v>85661.14</v>
      </c>
      <c r="K38" s="3">
        <f t="shared" si="10"/>
        <v>70000</v>
      </c>
      <c r="L38" s="5">
        <f t="shared" si="8"/>
        <v>5000</v>
      </c>
      <c r="M38" s="14">
        <v>89424.04</v>
      </c>
      <c r="N38" s="6">
        <v>70000</v>
      </c>
      <c r="O38" s="5">
        <v>53296.73</v>
      </c>
      <c r="P38" s="5">
        <v>75000</v>
      </c>
      <c r="Q38" s="6">
        <f>74768.03-10547</f>
        <v>64221.03</v>
      </c>
      <c r="R38" s="6">
        <v>75000</v>
      </c>
      <c r="U38" s="5"/>
      <c r="V38" s="5">
        <f t="shared" si="1"/>
        <v>0</v>
      </c>
      <c r="W38" s="5">
        <f t="shared" si="2"/>
        <v>0</v>
      </c>
      <c r="X38" s="57"/>
      <c r="Y38" s="6">
        <v>70000</v>
      </c>
      <c r="Z38" s="6">
        <v>90979.3</v>
      </c>
      <c r="AA38" s="6">
        <f t="shared" si="7"/>
        <v>75000</v>
      </c>
      <c r="AB38" s="57">
        <v>83043</v>
      </c>
      <c r="AC38" s="6">
        <v>50000</v>
      </c>
      <c r="AD38" s="57">
        <v>60000</v>
      </c>
    </row>
    <row r="39" spans="1:30" hidden="1" x14ac:dyDescent="0.3">
      <c r="A39" s="1">
        <v>3021</v>
      </c>
      <c r="B39" s="2" t="s">
        <v>20</v>
      </c>
      <c r="C39" s="14">
        <v>0</v>
      </c>
      <c r="D39" s="14">
        <v>0</v>
      </c>
      <c r="E39" s="14">
        <v>0</v>
      </c>
      <c r="F39" s="14">
        <v>0</v>
      </c>
      <c r="H39" s="5">
        <f>G39/9.5*12</f>
        <v>0</v>
      </c>
      <c r="I39" s="5"/>
      <c r="J39" s="14">
        <v>7400</v>
      </c>
      <c r="K39" s="3">
        <f t="shared" si="10"/>
        <v>0</v>
      </c>
      <c r="L39" s="5">
        <f t="shared" si="8"/>
        <v>0</v>
      </c>
      <c r="M39" s="14">
        <v>2873</v>
      </c>
      <c r="N39" s="6">
        <v>0</v>
      </c>
      <c r="Q39" s="6">
        <v>0</v>
      </c>
      <c r="R39" s="6">
        <f t="shared" si="6"/>
        <v>0</v>
      </c>
      <c r="U39" s="5"/>
      <c r="V39" s="5">
        <f t="shared" si="1"/>
        <v>0</v>
      </c>
      <c r="W39" s="5">
        <f t="shared" si="2"/>
        <v>0</v>
      </c>
      <c r="X39" s="57"/>
      <c r="Y39" s="6">
        <v>0</v>
      </c>
      <c r="Z39" s="6">
        <v>0</v>
      </c>
      <c r="AA39" s="6">
        <f t="shared" si="7"/>
        <v>0</v>
      </c>
      <c r="AB39" s="57"/>
      <c r="AC39" s="6">
        <v>0</v>
      </c>
      <c r="AD39" s="57"/>
    </row>
    <row r="40" spans="1:30" hidden="1" x14ac:dyDescent="0.3">
      <c r="A40" s="1">
        <v>3089</v>
      </c>
      <c r="B40" s="2" t="s">
        <v>85</v>
      </c>
      <c r="C40" s="14">
        <v>0</v>
      </c>
      <c r="D40" s="14">
        <v>0</v>
      </c>
      <c r="E40" s="14">
        <v>0</v>
      </c>
      <c r="F40" s="14">
        <v>80000</v>
      </c>
      <c r="H40" s="5">
        <f>G40/9.5*12</f>
        <v>0</v>
      </c>
      <c r="I40" s="5"/>
      <c r="J40" s="14">
        <v>0</v>
      </c>
      <c r="K40" s="3">
        <f t="shared" si="10"/>
        <v>0</v>
      </c>
      <c r="L40" s="5">
        <f t="shared" si="8"/>
        <v>0</v>
      </c>
      <c r="M40" s="14">
        <v>0</v>
      </c>
      <c r="N40" s="6">
        <v>0</v>
      </c>
      <c r="O40" s="5">
        <v>2874</v>
      </c>
      <c r="P40" s="5">
        <f>+O40</f>
        <v>2874</v>
      </c>
      <c r="Q40" s="6">
        <v>0</v>
      </c>
      <c r="R40" s="6">
        <f t="shared" si="6"/>
        <v>0</v>
      </c>
      <c r="U40" s="5"/>
      <c r="V40" s="5">
        <f t="shared" si="1"/>
        <v>0</v>
      </c>
      <c r="W40" s="5">
        <f t="shared" si="2"/>
        <v>0</v>
      </c>
      <c r="X40" s="57"/>
      <c r="Y40" s="6">
        <v>0</v>
      </c>
      <c r="Z40" s="6">
        <v>303</v>
      </c>
      <c r="AA40" s="6">
        <f t="shared" si="7"/>
        <v>0</v>
      </c>
      <c r="AB40" s="57"/>
      <c r="AC40" s="6">
        <v>0</v>
      </c>
      <c r="AD40" s="57"/>
    </row>
    <row r="41" spans="1:30" x14ac:dyDescent="0.3">
      <c r="A41" s="1">
        <v>3501</v>
      </c>
      <c r="B41" s="2" t="s">
        <v>21</v>
      </c>
      <c r="C41" s="29">
        <v>60250</v>
      </c>
      <c r="D41" s="29">
        <v>16000</v>
      </c>
      <c r="E41" s="29">
        <f>67975-45762</f>
        <v>22213</v>
      </c>
      <c r="F41" s="29">
        <v>0</v>
      </c>
      <c r="G41" s="30">
        <v>24500</v>
      </c>
      <c r="H41" s="30">
        <v>131500</v>
      </c>
      <c r="I41" s="30">
        <v>50000</v>
      </c>
      <c r="J41" s="29">
        <v>131500</v>
      </c>
      <c r="K41" s="3">
        <f t="shared" si="10"/>
        <v>50000</v>
      </c>
      <c r="L41" s="5">
        <f t="shared" si="8"/>
        <v>-81500</v>
      </c>
      <c r="M41" s="14">
        <v>23000</v>
      </c>
      <c r="N41" s="6">
        <v>40000</v>
      </c>
      <c r="O41" s="6"/>
      <c r="P41" s="6">
        <v>110000</v>
      </c>
      <c r="Q41" s="6">
        <v>0</v>
      </c>
      <c r="R41" s="6">
        <v>83000</v>
      </c>
      <c r="U41" s="5"/>
      <c r="V41" s="5">
        <f t="shared" si="1"/>
        <v>0</v>
      </c>
      <c r="W41" s="5">
        <f t="shared" si="2"/>
        <v>0</v>
      </c>
      <c r="X41" s="57"/>
      <c r="Y41" s="6">
        <v>170000</v>
      </c>
      <c r="Z41" s="6">
        <v>87382.97</v>
      </c>
      <c r="AA41" s="6">
        <v>73000</v>
      </c>
      <c r="AB41" s="57">
        <v>77807</v>
      </c>
      <c r="AC41" s="6">
        <v>60000</v>
      </c>
      <c r="AD41" s="57">
        <v>60000</v>
      </c>
    </row>
    <row r="42" spans="1:30" ht="17.25" thickBot="1" x14ac:dyDescent="0.35">
      <c r="B42" s="2" t="s">
        <v>82</v>
      </c>
      <c r="C42" s="36">
        <f t="shared" ref="C42:K42" si="11">SUM(C4:C41)</f>
        <v>1598581.5399999998</v>
      </c>
      <c r="D42" s="36">
        <f t="shared" si="11"/>
        <v>1699521.93</v>
      </c>
      <c r="E42" s="36">
        <f t="shared" si="11"/>
        <v>1748166.6699999997</v>
      </c>
      <c r="F42" s="36">
        <f t="shared" si="11"/>
        <v>1835432.19</v>
      </c>
      <c r="G42" s="41">
        <f t="shared" si="11"/>
        <v>1671888.1899999997</v>
      </c>
      <c r="H42" s="41">
        <f t="shared" si="11"/>
        <v>1840466.104210526</v>
      </c>
      <c r="I42" s="41">
        <f t="shared" si="11"/>
        <v>1718235</v>
      </c>
      <c r="J42" s="36">
        <f t="shared" si="11"/>
        <v>1919178.93</v>
      </c>
      <c r="K42" s="21">
        <f t="shared" si="11"/>
        <v>1748839.0381999998</v>
      </c>
      <c r="L42" s="40">
        <f>+K42-H42</f>
        <v>-91627.066010526149</v>
      </c>
      <c r="M42" s="21">
        <v>1911254.7599999998</v>
      </c>
      <c r="N42" s="24">
        <f>SUM(N4:N41)</f>
        <v>1828498</v>
      </c>
      <c r="O42" s="22">
        <f>SUM(O4:O41)</f>
        <v>1665822.9000000001</v>
      </c>
      <c r="P42" s="22">
        <f>SUM(P4:P41)</f>
        <v>1920384.27</v>
      </c>
      <c r="Q42" s="23">
        <f>SUM(Q4:Q41)</f>
        <v>1619676.34</v>
      </c>
      <c r="R42" s="23">
        <f>SUM(R4:R41)</f>
        <v>1823775</v>
      </c>
      <c r="S42" s="54"/>
      <c r="U42" s="22">
        <f>SUM(U4:U41)</f>
        <v>0</v>
      </c>
      <c r="V42" s="40">
        <f t="shared" si="1"/>
        <v>0</v>
      </c>
      <c r="W42" s="40">
        <f t="shared" si="1"/>
        <v>0</v>
      </c>
      <c r="X42" s="58"/>
      <c r="Y42" s="24">
        <f t="shared" ref="Y42:AD42" si="12">SUM(Y4:Y41)</f>
        <v>1974255</v>
      </c>
      <c r="Z42" s="24">
        <f t="shared" si="12"/>
        <v>1938023.5499999998</v>
      </c>
      <c r="AA42" s="23">
        <f t="shared" si="12"/>
        <v>1875775</v>
      </c>
      <c r="AB42" s="62">
        <f t="shared" si="12"/>
        <v>1915092</v>
      </c>
      <c r="AC42" s="24">
        <f t="shared" si="12"/>
        <v>1862030</v>
      </c>
      <c r="AD42" s="62">
        <f t="shared" si="12"/>
        <v>1865354</v>
      </c>
    </row>
    <row r="43" spans="1:30" ht="14.45" customHeight="1" thickTop="1" x14ac:dyDescent="0.3">
      <c r="L43" s="5"/>
      <c r="M43" s="14"/>
      <c r="N43" s="6"/>
      <c r="U43" s="5"/>
      <c r="V43" s="5"/>
      <c r="W43" s="5"/>
      <c r="X43" s="57"/>
      <c r="Y43" s="6"/>
      <c r="Z43" s="6">
        <v>0</v>
      </c>
      <c r="AA43" s="6"/>
      <c r="AB43" s="57"/>
      <c r="AC43" s="6"/>
      <c r="AD43" s="57"/>
    </row>
    <row r="44" spans="1:30" x14ac:dyDescent="0.3">
      <c r="L44" s="5"/>
      <c r="M44" s="14"/>
      <c r="N44" s="6"/>
      <c r="U44" s="5"/>
      <c r="V44" s="5">
        <f t="shared" si="1"/>
        <v>0</v>
      </c>
      <c r="W44" s="5"/>
      <c r="X44" s="57"/>
      <c r="Y44" s="6"/>
      <c r="Z44" s="6"/>
      <c r="AA44" s="6"/>
      <c r="AB44" s="57"/>
      <c r="AC44" s="6"/>
      <c r="AD44" s="57"/>
    </row>
    <row r="45" spans="1:30" x14ac:dyDescent="0.3">
      <c r="A45" s="25">
        <v>1110.0101</v>
      </c>
      <c r="B45" s="2" t="s">
        <v>22</v>
      </c>
      <c r="C45" s="18">
        <v>8360.36</v>
      </c>
      <c r="D45" s="18">
        <v>8115.12</v>
      </c>
      <c r="E45" s="18">
        <v>8115.12</v>
      </c>
      <c r="F45" s="18">
        <v>8317.92</v>
      </c>
      <c r="G45" s="19">
        <v>6398.4</v>
      </c>
      <c r="H45" s="19">
        <v>8318</v>
      </c>
      <c r="I45" s="19">
        <v>8318</v>
      </c>
      <c r="J45" s="18">
        <v>8317.92</v>
      </c>
      <c r="K45" s="17">
        <f>+I45</f>
        <v>8318</v>
      </c>
      <c r="L45" s="19">
        <f>+H45-K45</f>
        <v>0</v>
      </c>
      <c r="M45" s="18">
        <v>8317.92</v>
      </c>
      <c r="N45" s="20">
        <v>8318</v>
      </c>
      <c r="O45" s="19">
        <v>6078.48</v>
      </c>
      <c r="P45" s="19">
        <f>+K45</f>
        <v>8318</v>
      </c>
      <c r="Q45" s="20">
        <v>5598.6</v>
      </c>
      <c r="R45" s="6">
        <v>8500</v>
      </c>
      <c r="U45" s="19"/>
      <c r="V45" s="19">
        <f t="shared" si="1"/>
        <v>0</v>
      </c>
      <c r="W45" s="5">
        <f>V45</f>
        <v>0</v>
      </c>
      <c r="X45" s="57"/>
      <c r="Y45" s="20">
        <v>8500</v>
      </c>
      <c r="Z45" s="20">
        <v>8349.91</v>
      </c>
      <c r="AA45" s="20">
        <f t="shared" ref="AA45:AA53" si="13">R45</f>
        <v>8500</v>
      </c>
      <c r="AB45" s="56">
        <v>8612</v>
      </c>
      <c r="AC45" s="20">
        <v>8500</v>
      </c>
      <c r="AD45" s="56">
        <v>8755</v>
      </c>
    </row>
    <row r="46" spans="1:30" x14ac:dyDescent="0.3">
      <c r="A46" s="25">
        <v>1110.04</v>
      </c>
      <c r="B46" s="2" t="s">
        <v>88</v>
      </c>
      <c r="C46" s="14">
        <v>0</v>
      </c>
      <c r="D46" s="14">
        <v>0</v>
      </c>
      <c r="E46" s="14">
        <v>5633</v>
      </c>
      <c r="F46" s="14">
        <v>7685.5</v>
      </c>
      <c r="G46" s="5">
        <v>4652.5</v>
      </c>
      <c r="H46" s="5">
        <v>6000</v>
      </c>
      <c r="I46" s="5">
        <v>8500</v>
      </c>
      <c r="J46" s="14">
        <v>6366.5</v>
      </c>
      <c r="K46" s="3">
        <v>8000</v>
      </c>
      <c r="L46" s="5">
        <f>+H46-K46</f>
        <v>-2000</v>
      </c>
      <c r="M46" s="14">
        <v>7346</v>
      </c>
      <c r="N46" s="6">
        <v>8000</v>
      </c>
      <c r="O46" s="5">
        <v>5632</v>
      </c>
      <c r="P46" s="5">
        <f>+K46</f>
        <v>8000</v>
      </c>
      <c r="Q46" s="6">
        <v>6624</v>
      </c>
      <c r="R46" s="6">
        <v>7500</v>
      </c>
      <c r="U46" s="5"/>
      <c r="V46" s="5">
        <f t="shared" si="1"/>
        <v>0</v>
      </c>
      <c r="W46" s="5">
        <f t="shared" ref="W46:W100" si="14">V46</f>
        <v>0</v>
      </c>
      <c r="X46" s="57"/>
      <c r="Y46" s="6">
        <v>8000</v>
      </c>
      <c r="Z46" s="6">
        <v>10548.5</v>
      </c>
      <c r="AA46" s="6">
        <f t="shared" si="13"/>
        <v>7500</v>
      </c>
      <c r="AB46" s="57">
        <v>6125</v>
      </c>
      <c r="AC46" s="6">
        <v>8000</v>
      </c>
      <c r="AD46" s="57">
        <v>8000</v>
      </c>
    </row>
    <row r="47" spans="1:30" x14ac:dyDescent="0.3">
      <c r="A47" s="25">
        <v>1110.0409999999999</v>
      </c>
      <c r="B47" s="2" t="s">
        <v>23</v>
      </c>
      <c r="C47" s="14">
        <v>1571.2</v>
      </c>
      <c r="D47" s="14">
        <v>2149.52</v>
      </c>
      <c r="E47" s="14">
        <v>1928.91</v>
      </c>
      <c r="F47" s="14">
        <v>1722.15</v>
      </c>
      <c r="G47" s="5">
        <v>785.64</v>
      </c>
      <c r="H47" s="5">
        <v>950</v>
      </c>
      <c r="I47" s="5">
        <v>1250</v>
      </c>
      <c r="J47" s="14">
        <v>1872.64</v>
      </c>
      <c r="K47" s="3">
        <f>+I47</f>
        <v>1250</v>
      </c>
      <c r="L47" s="5">
        <f>+H47-K47</f>
        <v>-300</v>
      </c>
      <c r="M47" s="14">
        <v>3485.08</v>
      </c>
      <c r="N47" s="6">
        <v>2000</v>
      </c>
      <c r="O47" s="5">
        <v>1859.16</v>
      </c>
      <c r="P47" s="5">
        <v>2500</v>
      </c>
      <c r="Q47" s="6">
        <v>68.349999999999994</v>
      </c>
      <c r="R47" s="6">
        <v>125</v>
      </c>
      <c r="U47" s="5"/>
      <c r="V47" s="5">
        <f t="shared" si="1"/>
        <v>0</v>
      </c>
      <c r="W47" s="5">
        <f t="shared" si="14"/>
        <v>0</v>
      </c>
      <c r="X47" s="57"/>
      <c r="Y47" s="6">
        <v>1500</v>
      </c>
      <c r="Z47" s="6">
        <v>430.3</v>
      </c>
      <c r="AA47" s="6">
        <f t="shared" si="13"/>
        <v>125</v>
      </c>
      <c r="AB47" s="57">
        <v>77</v>
      </c>
      <c r="AC47" s="6">
        <v>125</v>
      </c>
      <c r="AD47" s="57">
        <v>125</v>
      </c>
    </row>
    <row r="48" spans="1:30" x14ac:dyDescent="0.3">
      <c r="A48" s="25">
        <v>1110.0440000000001</v>
      </c>
      <c r="B48" s="2" t="s">
        <v>24</v>
      </c>
      <c r="C48" s="14">
        <v>0</v>
      </c>
      <c r="D48" s="14">
        <v>167</v>
      </c>
      <c r="E48" s="14">
        <v>167</v>
      </c>
      <c r="F48" s="14">
        <v>149.93</v>
      </c>
      <c r="G48" s="5">
        <v>440.5</v>
      </c>
      <c r="H48" s="5">
        <f>G48/9.5*12</f>
        <v>556.42105263157896</v>
      </c>
      <c r="I48" s="5">
        <v>300</v>
      </c>
      <c r="J48" s="14">
        <v>440.5</v>
      </c>
      <c r="K48" s="3">
        <f>+I48</f>
        <v>300</v>
      </c>
      <c r="L48" s="5">
        <f>+H48-K48</f>
        <v>256.42105263157896</v>
      </c>
      <c r="M48" s="14">
        <v>305.2</v>
      </c>
      <c r="N48" s="6">
        <v>400</v>
      </c>
      <c r="O48" s="5">
        <v>305.2</v>
      </c>
      <c r="P48" s="5">
        <v>500</v>
      </c>
      <c r="Q48" s="6">
        <v>0</v>
      </c>
      <c r="R48" s="6">
        <f>(Q48/8)*12</f>
        <v>0</v>
      </c>
      <c r="U48" s="5"/>
      <c r="V48" s="5">
        <f t="shared" si="1"/>
        <v>0</v>
      </c>
      <c r="W48" s="5">
        <f t="shared" si="14"/>
        <v>0</v>
      </c>
      <c r="X48" s="57"/>
      <c r="Y48" s="6">
        <v>500</v>
      </c>
      <c r="Z48" s="6">
        <v>183.4</v>
      </c>
      <c r="AA48" s="6">
        <f t="shared" si="13"/>
        <v>0</v>
      </c>
      <c r="AB48" s="57">
        <v>418</v>
      </c>
      <c r="AC48" s="6">
        <v>300</v>
      </c>
      <c r="AD48" s="57">
        <v>300</v>
      </c>
    </row>
    <row r="49" spans="1:32" x14ac:dyDescent="0.3">
      <c r="A49" s="25">
        <v>1110.0450000000001</v>
      </c>
      <c r="B49" s="2" t="s">
        <v>99</v>
      </c>
      <c r="C49" s="14">
        <v>0</v>
      </c>
      <c r="D49" s="14">
        <v>0</v>
      </c>
      <c r="E49" s="14">
        <v>0</v>
      </c>
      <c r="F49" s="14">
        <v>0</v>
      </c>
      <c r="I49" s="5"/>
      <c r="J49" s="14">
        <v>1905</v>
      </c>
      <c r="K49" s="3">
        <v>0</v>
      </c>
      <c r="L49" s="5"/>
      <c r="M49" s="14">
        <v>2425</v>
      </c>
      <c r="N49" s="6">
        <v>0</v>
      </c>
      <c r="Q49" s="6">
        <v>2357.5</v>
      </c>
      <c r="R49" s="6">
        <v>3500</v>
      </c>
      <c r="U49" s="5"/>
      <c r="V49" s="5">
        <f t="shared" si="1"/>
        <v>0</v>
      </c>
      <c r="W49" s="5">
        <f t="shared" si="14"/>
        <v>0</v>
      </c>
      <c r="X49" s="57"/>
      <c r="Y49" s="6">
        <v>2500</v>
      </c>
      <c r="Z49" s="6">
        <v>3857.5</v>
      </c>
      <c r="AA49" s="6">
        <f t="shared" si="13"/>
        <v>3500</v>
      </c>
      <c r="AB49" s="57">
        <v>3113</v>
      </c>
      <c r="AC49" s="6">
        <v>3500</v>
      </c>
      <c r="AD49" s="57">
        <v>3500</v>
      </c>
    </row>
    <row r="50" spans="1:32" x14ac:dyDescent="0.3">
      <c r="A50" s="25">
        <v>1110.0451</v>
      </c>
      <c r="B50" s="2" t="s">
        <v>25</v>
      </c>
      <c r="C50" s="14">
        <v>75</v>
      </c>
      <c r="D50" s="14">
        <v>0</v>
      </c>
      <c r="E50" s="14">
        <v>0</v>
      </c>
      <c r="F50" s="14">
        <v>100</v>
      </c>
      <c r="H50" s="5">
        <f>G50/9.5*12</f>
        <v>0</v>
      </c>
      <c r="I50" s="5">
        <v>100</v>
      </c>
      <c r="J50" s="14">
        <v>0</v>
      </c>
      <c r="K50" s="3">
        <f>+I50</f>
        <v>100</v>
      </c>
      <c r="L50" s="5">
        <f t="shared" ref="L50:L63" si="15">+H50-K50</f>
        <v>-100</v>
      </c>
      <c r="M50" s="14">
        <v>100</v>
      </c>
      <c r="N50" s="6">
        <v>100</v>
      </c>
      <c r="O50" s="5">
        <v>100</v>
      </c>
      <c r="P50" s="5">
        <f>+O50</f>
        <v>100</v>
      </c>
      <c r="Q50" s="6">
        <v>100</v>
      </c>
      <c r="R50" s="6">
        <f>(Q50/8)*12</f>
        <v>150</v>
      </c>
      <c r="U50" s="5"/>
      <c r="V50" s="5">
        <f t="shared" si="1"/>
        <v>0</v>
      </c>
      <c r="W50" s="5">
        <f t="shared" si="14"/>
        <v>0</v>
      </c>
      <c r="X50" s="57"/>
      <c r="Y50" s="6">
        <v>0</v>
      </c>
      <c r="Z50" s="6">
        <v>200</v>
      </c>
      <c r="AA50" s="6">
        <f t="shared" si="13"/>
        <v>150</v>
      </c>
      <c r="AB50" s="57">
        <v>200</v>
      </c>
      <c r="AC50" s="6">
        <v>150</v>
      </c>
      <c r="AD50" s="57">
        <v>150</v>
      </c>
    </row>
    <row r="51" spans="1:32" x14ac:dyDescent="0.3">
      <c r="A51" s="25">
        <v>1110.046</v>
      </c>
      <c r="B51" s="2" t="s">
        <v>26</v>
      </c>
      <c r="C51" s="14">
        <v>0</v>
      </c>
      <c r="D51" s="14">
        <v>0</v>
      </c>
      <c r="E51" s="14">
        <v>0</v>
      </c>
      <c r="F51" s="14">
        <v>345.14</v>
      </c>
      <c r="H51" s="5">
        <f>G51/9.5*12</f>
        <v>0</v>
      </c>
      <c r="I51" s="5">
        <v>345</v>
      </c>
      <c r="J51" s="14">
        <v>161.5</v>
      </c>
      <c r="L51" s="5">
        <f t="shared" si="15"/>
        <v>0</v>
      </c>
      <c r="M51" s="14"/>
      <c r="N51" s="6">
        <v>0</v>
      </c>
      <c r="R51" s="6">
        <f>(Q51/8)*12</f>
        <v>0</v>
      </c>
      <c r="U51" s="5"/>
      <c r="V51" s="5">
        <f t="shared" si="1"/>
        <v>0</v>
      </c>
      <c r="W51" s="5">
        <f t="shared" si="14"/>
        <v>0</v>
      </c>
      <c r="X51" s="57"/>
      <c r="Y51" s="6"/>
      <c r="Z51" s="6"/>
      <c r="AA51" s="6">
        <f t="shared" si="13"/>
        <v>0</v>
      </c>
      <c r="AB51" s="57">
        <v>0</v>
      </c>
      <c r="AC51" s="6">
        <v>0</v>
      </c>
      <c r="AD51" s="57">
        <v>0</v>
      </c>
    </row>
    <row r="52" spans="1:32" x14ac:dyDescent="0.3">
      <c r="A52" s="25">
        <v>1110.047</v>
      </c>
      <c r="B52" s="2" t="s">
        <v>27</v>
      </c>
      <c r="C52" s="14">
        <v>530</v>
      </c>
      <c r="D52" s="14">
        <v>1296</v>
      </c>
      <c r="E52" s="14">
        <v>720</v>
      </c>
      <c r="F52" s="14">
        <v>545</v>
      </c>
      <c r="G52" s="5">
        <v>355</v>
      </c>
      <c r="H52" s="5">
        <f>+G52</f>
        <v>355</v>
      </c>
      <c r="I52" s="5">
        <v>750</v>
      </c>
      <c r="J52" s="14">
        <v>595</v>
      </c>
      <c r="K52" s="3">
        <f>+I52</f>
        <v>750</v>
      </c>
      <c r="L52" s="5">
        <f t="shared" si="15"/>
        <v>-395</v>
      </c>
      <c r="M52" s="14">
        <v>760</v>
      </c>
      <c r="N52" s="6">
        <v>700</v>
      </c>
      <c r="O52" s="5">
        <v>370</v>
      </c>
      <c r="P52" s="5">
        <f>+O52</f>
        <v>370</v>
      </c>
      <c r="Q52" s="6">
        <v>455</v>
      </c>
      <c r="R52" s="6">
        <v>750</v>
      </c>
      <c r="U52" s="5"/>
      <c r="V52" s="5">
        <f t="shared" si="1"/>
        <v>0</v>
      </c>
      <c r="W52" s="5">
        <f t="shared" si="14"/>
        <v>0</v>
      </c>
      <c r="X52" s="57"/>
      <c r="Y52" s="6">
        <v>1000</v>
      </c>
      <c r="Z52" s="6">
        <v>780</v>
      </c>
      <c r="AA52" s="6">
        <f t="shared" si="13"/>
        <v>750</v>
      </c>
      <c r="AB52" s="57">
        <v>530</v>
      </c>
      <c r="AC52" s="6">
        <v>1500</v>
      </c>
      <c r="AD52" s="57">
        <v>750</v>
      </c>
    </row>
    <row r="53" spans="1:32" x14ac:dyDescent="0.3">
      <c r="A53" s="25">
        <v>1320.0450000000001</v>
      </c>
      <c r="B53" s="2" t="s">
        <v>28</v>
      </c>
      <c r="C53" s="14">
        <v>8200</v>
      </c>
      <c r="D53" s="14">
        <v>9450</v>
      </c>
      <c r="E53" s="14">
        <v>13000</v>
      </c>
      <c r="F53" s="14">
        <v>11100</v>
      </c>
      <c r="G53" s="5">
        <v>11380</v>
      </c>
      <c r="H53" s="5">
        <f>+G53</f>
        <v>11380</v>
      </c>
      <c r="I53" s="5">
        <v>12000</v>
      </c>
      <c r="J53" s="14">
        <v>11380</v>
      </c>
      <c r="K53" s="3">
        <f>+I53</f>
        <v>12000</v>
      </c>
      <c r="L53" s="5">
        <f t="shared" si="15"/>
        <v>-620</v>
      </c>
      <c r="M53" s="14">
        <v>21006.66</v>
      </c>
      <c r="N53" s="6">
        <v>15000</v>
      </c>
      <c r="O53" s="5">
        <v>15280</v>
      </c>
      <c r="P53" s="5">
        <f>+O53</f>
        <v>15280</v>
      </c>
      <c r="Q53" s="6">
        <v>6538.14</v>
      </c>
      <c r="R53" s="6">
        <v>23000</v>
      </c>
      <c r="U53" s="5"/>
      <c r="V53" s="5">
        <f t="shared" si="1"/>
        <v>0</v>
      </c>
      <c r="W53" s="5">
        <f t="shared" si="14"/>
        <v>0</v>
      </c>
      <c r="X53" s="57"/>
      <c r="Y53" s="6">
        <v>15000</v>
      </c>
      <c r="Z53" s="6">
        <v>18111.5</v>
      </c>
      <c r="AA53" s="6">
        <f t="shared" si="13"/>
        <v>23000</v>
      </c>
      <c r="AB53" s="57">
        <v>15950</v>
      </c>
      <c r="AC53" s="6">
        <v>23000</v>
      </c>
      <c r="AD53" s="57">
        <v>23000</v>
      </c>
    </row>
    <row r="54" spans="1:32" x14ac:dyDescent="0.3">
      <c r="A54" s="25">
        <v>1325.0101</v>
      </c>
      <c r="B54" s="2" t="s">
        <v>29</v>
      </c>
      <c r="C54" s="14">
        <v>76637.14</v>
      </c>
      <c r="D54" s="14">
        <v>76264.240000000005</v>
      </c>
      <c r="E54" s="14">
        <v>78154.960000000006</v>
      </c>
      <c r="F54" s="14">
        <v>80109.119999999995</v>
      </c>
      <c r="G54" s="5">
        <v>62854.8</v>
      </c>
      <c r="H54" s="5">
        <v>81711</v>
      </c>
      <c r="I54" s="5">
        <v>81711</v>
      </c>
      <c r="J54" s="14">
        <v>81711.240000000005</v>
      </c>
      <c r="K54" s="3">
        <v>83345</v>
      </c>
      <c r="L54" s="5">
        <f t="shared" si="15"/>
        <v>-1634</v>
      </c>
      <c r="M54" s="14">
        <v>83345.600000000006</v>
      </c>
      <c r="N54" s="6">
        <v>83345</v>
      </c>
      <c r="O54" s="5">
        <v>60906.400000000001</v>
      </c>
      <c r="P54" s="5">
        <f>+K54</f>
        <v>83345</v>
      </c>
      <c r="Q54" s="6">
        <v>41434.76</v>
      </c>
      <c r="R54" s="6">
        <v>63000</v>
      </c>
      <c r="U54" s="5"/>
      <c r="V54" s="5">
        <f t="shared" si="1"/>
        <v>0</v>
      </c>
      <c r="W54" s="5">
        <f t="shared" si="14"/>
        <v>0</v>
      </c>
      <c r="X54" s="57"/>
      <c r="Y54" s="6">
        <v>62100</v>
      </c>
      <c r="Z54" s="6">
        <v>62215.6</v>
      </c>
      <c r="AA54" s="6">
        <v>72500</v>
      </c>
      <c r="AB54" s="57">
        <v>72550</v>
      </c>
      <c r="AC54" s="6">
        <v>74675</v>
      </c>
      <c r="AD54" s="57">
        <v>76915</v>
      </c>
      <c r="AF54" s="65" t="s">
        <v>141</v>
      </c>
    </row>
    <row r="55" spans="1:32" x14ac:dyDescent="0.3">
      <c r="A55" s="25">
        <v>1325.0101999999999</v>
      </c>
      <c r="B55" s="2" t="s">
        <v>30</v>
      </c>
      <c r="C55" s="14">
        <v>67139.460000000006</v>
      </c>
      <c r="D55" s="14">
        <v>66070.16</v>
      </c>
      <c r="E55" s="14">
        <v>71801.94</v>
      </c>
      <c r="F55" s="14">
        <v>58417.82</v>
      </c>
      <c r="G55" s="5">
        <v>40384.6</v>
      </c>
      <c r="H55" s="5">
        <f>G55/9.5*12</f>
        <v>51012.126315789472</v>
      </c>
      <c r="I55" s="5">
        <v>51000</v>
      </c>
      <c r="J55" s="14">
        <v>52499.98</v>
      </c>
      <c r="K55" s="3">
        <v>53550</v>
      </c>
      <c r="L55" s="5">
        <f t="shared" si="15"/>
        <v>-2537.8736842105282</v>
      </c>
      <c r="M55" s="14">
        <v>53550.12</v>
      </c>
      <c r="N55" s="6">
        <v>53550</v>
      </c>
      <c r="O55" s="5">
        <v>39142.78</v>
      </c>
      <c r="P55" s="5">
        <f>+K55</f>
        <v>53550</v>
      </c>
      <c r="Q55" s="6">
        <v>38378.720000000001</v>
      </c>
      <c r="R55" s="6">
        <v>58000</v>
      </c>
      <c r="U55" s="5"/>
      <c r="V55" s="5">
        <f t="shared" si="1"/>
        <v>0</v>
      </c>
      <c r="W55" s="5">
        <f t="shared" si="14"/>
        <v>0</v>
      </c>
      <c r="X55" s="57"/>
      <c r="Y55" s="6">
        <v>57088</v>
      </c>
      <c r="Z55" s="6">
        <v>57813.93</v>
      </c>
      <c r="AA55" s="6">
        <v>60000</v>
      </c>
      <c r="AB55" s="57">
        <v>60542</v>
      </c>
      <c r="AC55" s="6">
        <f>AA55*103%</f>
        <v>61800</v>
      </c>
      <c r="AD55" s="57">
        <v>63654</v>
      </c>
      <c r="AF55" s="65" t="s">
        <v>141</v>
      </c>
    </row>
    <row r="56" spans="1:32" x14ac:dyDescent="0.3">
      <c r="A56" s="25">
        <v>1325.0409999999999</v>
      </c>
      <c r="B56" s="2" t="s">
        <v>31</v>
      </c>
      <c r="C56" s="14">
        <v>7087.69</v>
      </c>
      <c r="D56" s="14">
        <v>7594.39</v>
      </c>
      <c r="E56" s="14">
        <v>7168.83</v>
      </c>
      <c r="F56" s="14">
        <v>7710.57</v>
      </c>
      <c r="G56" s="5">
        <v>5894.62</v>
      </c>
      <c r="H56" s="5">
        <f>G56/9.5*12</f>
        <v>7445.8357894736837</v>
      </c>
      <c r="I56" s="5">
        <v>7000</v>
      </c>
      <c r="J56" s="14">
        <v>7418.07</v>
      </c>
      <c r="K56" s="3">
        <f>+I56</f>
        <v>7000</v>
      </c>
      <c r="L56" s="5">
        <f t="shared" si="15"/>
        <v>445.83578947368369</v>
      </c>
      <c r="M56" s="14">
        <v>6204.17</v>
      </c>
      <c r="N56" s="6">
        <v>5000</v>
      </c>
      <c r="O56" s="6">
        <v>3586.36</v>
      </c>
      <c r="P56" s="6">
        <v>5000</v>
      </c>
      <c r="Q56" s="6">
        <v>6272.79</v>
      </c>
      <c r="R56" s="6">
        <v>7500</v>
      </c>
      <c r="U56" s="5"/>
      <c r="V56" s="5">
        <f t="shared" si="1"/>
        <v>0</v>
      </c>
      <c r="W56" s="5">
        <f t="shared" si="14"/>
        <v>0</v>
      </c>
      <c r="X56" s="57"/>
      <c r="Y56" s="6">
        <v>5000</v>
      </c>
      <c r="Z56" s="6">
        <v>10052.09</v>
      </c>
      <c r="AA56" s="6">
        <v>6500</v>
      </c>
      <c r="AB56" s="57">
        <v>10326</v>
      </c>
      <c r="AC56" s="6">
        <v>5000</v>
      </c>
      <c r="AD56" s="57">
        <v>6500</v>
      </c>
    </row>
    <row r="57" spans="1:32" x14ac:dyDescent="0.3">
      <c r="A57" s="25">
        <v>1325.0441000000001</v>
      </c>
      <c r="B57" s="2" t="s">
        <v>32</v>
      </c>
      <c r="C57" s="14">
        <v>383.65</v>
      </c>
      <c r="D57" s="14">
        <v>690.75</v>
      </c>
      <c r="E57" s="14">
        <v>832.1</v>
      </c>
      <c r="F57" s="14">
        <v>207.5</v>
      </c>
      <c r="G57" s="5">
        <v>71.25</v>
      </c>
      <c r="H57" s="5">
        <f>G57/9.5*12</f>
        <v>90</v>
      </c>
      <c r="I57" s="5">
        <v>800</v>
      </c>
      <c r="J57" s="14">
        <v>121.2</v>
      </c>
      <c r="K57" s="3">
        <v>600</v>
      </c>
      <c r="L57" s="5">
        <f t="shared" si="15"/>
        <v>-510</v>
      </c>
      <c r="M57" s="14">
        <v>466.8</v>
      </c>
      <c r="N57" s="6">
        <v>600</v>
      </c>
      <c r="P57" s="5">
        <v>250</v>
      </c>
      <c r="Q57" s="6">
        <v>167.7</v>
      </c>
      <c r="R57" s="6">
        <v>250</v>
      </c>
      <c r="U57" s="5"/>
      <c r="V57" s="5">
        <f t="shared" si="1"/>
        <v>0</v>
      </c>
      <c r="W57" s="5">
        <f t="shared" si="14"/>
        <v>0</v>
      </c>
      <c r="X57" s="57"/>
      <c r="Y57" s="6">
        <v>1000</v>
      </c>
      <c r="Z57" s="6">
        <v>523.79999999999995</v>
      </c>
      <c r="AA57" s="6">
        <f t="shared" ref="AA57:AA63" si="16">R57</f>
        <v>250</v>
      </c>
      <c r="AB57" s="57">
        <v>837</v>
      </c>
      <c r="AC57" s="6">
        <v>2000</v>
      </c>
      <c r="AD57" s="57">
        <v>2000</v>
      </c>
    </row>
    <row r="58" spans="1:32" x14ac:dyDescent="0.3">
      <c r="A58" s="25">
        <v>1325.0442</v>
      </c>
      <c r="B58" s="2" t="s">
        <v>33</v>
      </c>
      <c r="C58" s="14">
        <v>1809.02</v>
      </c>
      <c r="D58" s="14">
        <v>3605.9</v>
      </c>
      <c r="E58" s="14">
        <v>5380.24</v>
      </c>
      <c r="F58" s="14">
        <v>1799.62</v>
      </c>
      <c r="G58" s="5">
        <v>2503.5100000000002</v>
      </c>
      <c r="H58" s="5">
        <v>3000</v>
      </c>
      <c r="I58" s="5">
        <v>4000</v>
      </c>
      <c r="J58" s="14">
        <v>3079.01</v>
      </c>
      <c r="K58" s="3">
        <v>3000</v>
      </c>
      <c r="L58" s="5">
        <f t="shared" si="15"/>
        <v>0</v>
      </c>
      <c r="M58" s="14">
        <v>1900.15</v>
      </c>
      <c r="N58" s="6">
        <v>6000</v>
      </c>
      <c r="O58" s="5">
        <v>1107.76</v>
      </c>
      <c r="P58" s="5">
        <v>2000</v>
      </c>
      <c r="Q58" s="6">
        <v>687.03</v>
      </c>
      <c r="R58" s="6">
        <v>1100</v>
      </c>
      <c r="U58" s="5"/>
      <c r="V58" s="5">
        <f t="shared" si="1"/>
        <v>0</v>
      </c>
      <c r="W58" s="5">
        <f t="shared" si="14"/>
        <v>0</v>
      </c>
      <c r="X58" s="57"/>
      <c r="Y58" s="6">
        <v>1000</v>
      </c>
      <c r="Z58" s="6">
        <v>883.45</v>
      </c>
      <c r="AA58" s="6">
        <f t="shared" si="16"/>
        <v>1100</v>
      </c>
      <c r="AB58" s="57">
        <v>1031</v>
      </c>
      <c r="AC58" s="6">
        <v>1500</v>
      </c>
      <c r="AD58" s="57">
        <v>1100</v>
      </c>
    </row>
    <row r="59" spans="1:32" x14ac:dyDescent="0.3">
      <c r="A59" s="26">
        <v>1325.0450000000001</v>
      </c>
      <c r="B59" s="27" t="s">
        <v>34</v>
      </c>
      <c r="C59" s="6">
        <v>14656.33</v>
      </c>
      <c r="D59" s="6">
        <v>22655.15</v>
      </c>
      <c r="E59" s="6">
        <v>11646.77</v>
      </c>
      <c r="F59" s="6">
        <v>5396.77</v>
      </c>
      <c r="G59" s="5">
        <v>6044.02</v>
      </c>
      <c r="H59" s="5">
        <f>G59/9.5*12</f>
        <v>7634.5515789473684</v>
      </c>
      <c r="I59" s="5">
        <v>13500</v>
      </c>
      <c r="J59" s="6">
        <v>6010.77</v>
      </c>
      <c r="K59" s="28">
        <v>9000</v>
      </c>
      <c r="L59" s="5">
        <f t="shared" si="15"/>
        <v>-1365.4484210526316</v>
      </c>
      <c r="M59" s="6">
        <v>4642.84</v>
      </c>
      <c r="N59" s="6">
        <v>5000</v>
      </c>
      <c r="O59" s="6">
        <v>3205.74</v>
      </c>
      <c r="P59" s="6">
        <v>5000</v>
      </c>
      <c r="Q59" s="6">
        <v>4711.68</v>
      </c>
      <c r="R59" s="6">
        <v>6000</v>
      </c>
      <c r="U59" s="5"/>
      <c r="V59" s="5">
        <f t="shared" si="1"/>
        <v>0</v>
      </c>
      <c r="W59" s="5">
        <f t="shared" si="14"/>
        <v>0</v>
      </c>
      <c r="X59" s="57"/>
      <c r="Y59" s="6">
        <v>6000</v>
      </c>
      <c r="Z59" s="6">
        <v>6800.01</v>
      </c>
      <c r="AA59" s="6">
        <f t="shared" si="16"/>
        <v>6000</v>
      </c>
      <c r="AB59" s="57">
        <v>8153</v>
      </c>
      <c r="AC59" s="6">
        <v>9000</v>
      </c>
      <c r="AD59" s="57">
        <v>9000</v>
      </c>
    </row>
    <row r="60" spans="1:32" x14ac:dyDescent="0.3">
      <c r="A60" s="25">
        <v>1325.0451</v>
      </c>
      <c r="B60" s="2" t="s">
        <v>108</v>
      </c>
      <c r="C60" s="14">
        <v>0</v>
      </c>
      <c r="D60" s="14">
        <v>0</v>
      </c>
      <c r="E60" s="14">
        <v>5500</v>
      </c>
      <c r="F60" s="14">
        <v>6500</v>
      </c>
      <c r="G60" s="5">
        <v>4000</v>
      </c>
      <c r="H60" s="5">
        <v>6000</v>
      </c>
      <c r="I60" s="5">
        <v>6000</v>
      </c>
      <c r="J60" s="14">
        <v>6000</v>
      </c>
      <c r="K60" s="3">
        <v>6000</v>
      </c>
      <c r="L60" s="5">
        <f t="shared" si="15"/>
        <v>0</v>
      </c>
      <c r="M60" s="14">
        <v>6063.86</v>
      </c>
      <c r="N60" s="6">
        <v>6000</v>
      </c>
      <c r="O60" s="5">
        <v>3500</v>
      </c>
      <c r="P60" s="5">
        <v>6000</v>
      </c>
      <c r="Q60" s="6">
        <v>7097.5</v>
      </c>
      <c r="R60" s="6">
        <v>10500</v>
      </c>
      <c r="U60" s="5"/>
      <c r="V60" s="5">
        <f t="shared" si="1"/>
        <v>0</v>
      </c>
      <c r="W60" s="5">
        <f t="shared" si="14"/>
        <v>0</v>
      </c>
      <c r="X60" s="57"/>
      <c r="Y60" s="6">
        <v>7500</v>
      </c>
      <c r="Z60" s="6">
        <v>11875</v>
      </c>
      <c r="AA60" s="6">
        <f t="shared" si="16"/>
        <v>10500</v>
      </c>
      <c r="AB60" s="57">
        <v>9137</v>
      </c>
      <c r="AC60" s="6">
        <v>15000</v>
      </c>
      <c r="AD60" s="57">
        <v>15000</v>
      </c>
    </row>
    <row r="61" spans="1:32" x14ac:dyDescent="0.3">
      <c r="A61" s="25">
        <v>1325.046</v>
      </c>
      <c r="B61" s="2" t="s">
        <v>35</v>
      </c>
      <c r="C61" s="14">
        <v>3948.12</v>
      </c>
      <c r="D61" s="14">
        <v>3812.08</v>
      </c>
      <c r="E61" s="14">
        <v>4260.76</v>
      </c>
      <c r="F61" s="14">
        <v>4651.03</v>
      </c>
      <c r="G61" s="5">
        <v>2741.05</v>
      </c>
      <c r="H61" s="5">
        <f>G61/9.5*12</f>
        <v>3462.378947368421</v>
      </c>
      <c r="I61" s="5">
        <v>4000</v>
      </c>
      <c r="J61" s="14">
        <v>3376.05</v>
      </c>
      <c r="K61" s="3">
        <v>3500</v>
      </c>
      <c r="L61" s="5">
        <f t="shared" si="15"/>
        <v>-37.621052631579005</v>
      </c>
      <c r="M61" s="14">
        <v>2490.62</v>
      </c>
      <c r="N61" s="6">
        <v>3000</v>
      </c>
      <c r="O61" s="5">
        <v>1689.62</v>
      </c>
      <c r="P61" s="5">
        <v>2500</v>
      </c>
      <c r="Q61" s="6">
        <v>522.17999999999995</v>
      </c>
      <c r="R61" s="6">
        <v>750</v>
      </c>
      <c r="U61" s="5"/>
      <c r="V61" s="5">
        <f t="shared" si="1"/>
        <v>0</v>
      </c>
      <c r="W61" s="5">
        <f t="shared" si="14"/>
        <v>0</v>
      </c>
      <c r="X61" s="57"/>
      <c r="Y61" s="6">
        <v>1500</v>
      </c>
      <c r="Z61" s="6">
        <v>922.18</v>
      </c>
      <c r="AA61" s="6">
        <f t="shared" si="16"/>
        <v>750</v>
      </c>
      <c r="AB61" s="57">
        <v>1400</v>
      </c>
      <c r="AC61" s="6">
        <v>1000</v>
      </c>
      <c r="AD61" s="57">
        <v>1000</v>
      </c>
    </row>
    <row r="62" spans="1:32" x14ac:dyDescent="0.3">
      <c r="A62" s="25">
        <v>1355.04</v>
      </c>
      <c r="B62" s="2" t="s">
        <v>36</v>
      </c>
      <c r="C62" s="14">
        <v>359.28</v>
      </c>
      <c r="D62" s="14">
        <v>259.45999999999998</v>
      </c>
      <c r="E62" s="14">
        <v>279.95999999999998</v>
      </c>
      <c r="F62" s="14">
        <v>101.32</v>
      </c>
      <c r="G62" s="5">
        <v>180.39</v>
      </c>
      <c r="H62" s="5">
        <f>+G62</f>
        <v>180.39</v>
      </c>
      <c r="I62" s="5">
        <v>300</v>
      </c>
      <c r="J62" s="14">
        <v>280.95999999999998</v>
      </c>
      <c r="K62" s="3">
        <f>+I62</f>
        <v>300</v>
      </c>
      <c r="L62" s="5">
        <f t="shared" si="15"/>
        <v>-119.61000000000001</v>
      </c>
      <c r="M62" s="14">
        <v>182.46</v>
      </c>
      <c r="N62" s="6">
        <v>300</v>
      </c>
      <c r="O62" s="5">
        <v>131.13999999999999</v>
      </c>
      <c r="P62" s="5">
        <v>300</v>
      </c>
      <c r="Q62" s="6">
        <v>131.13999999999999</v>
      </c>
      <c r="R62" s="6">
        <v>150</v>
      </c>
      <c r="U62" s="5"/>
      <c r="V62" s="5">
        <f t="shared" si="1"/>
        <v>0</v>
      </c>
      <c r="W62" s="5">
        <f t="shared" si="14"/>
        <v>0</v>
      </c>
      <c r="X62" s="57"/>
      <c r="Y62" s="6">
        <v>300</v>
      </c>
      <c r="Z62" s="6">
        <v>210.96</v>
      </c>
      <c r="AA62" s="6">
        <f t="shared" si="16"/>
        <v>150</v>
      </c>
      <c r="AB62" s="57">
        <v>202</v>
      </c>
      <c r="AC62" s="6">
        <v>300</v>
      </c>
      <c r="AD62" s="57">
        <v>300</v>
      </c>
    </row>
    <row r="63" spans="1:32" x14ac:dyDescent="0.3">
      <c r="A63" s="25">
        <v>1420.0451</v>
      </c>
      <c r="B63" s="2" t="s">
        <v>37</v>
      </c>
      <c r="C63" s="14">
        <v>56214.18</v>
      </c>
      <c r="D63" s="14">
        <v>70207.88</v>
      </c>
      <c r="E63" s="14">
        <v>44813.33</v>
      </c>
      <c r="F63" s="14">
        <v>60225.75</v>
      </c>
      <c r="G63" s="5">
        <v>18274</v>
      </c>
      <c r="H63" s="5">
        <f>G63/9.5*12</f>
        <v>23082.947368421053</v>
      </c>
      <c r="I63" s="5">
        <v>45000</v>
      </c>
      <c r="J63" s="14">
        <v>30413.75</v>
      </c>
      <c r="K63" s="3">
        <v>50000</v>
      </c>
      <c r="L63" s="5">
        <f t="shared" si="15"/>
        <v>-26917.052631578947</v>
      </c>
      <c r="M63" s="14">
        <v>35139.919999999998</v>
      </c>
      <c r="N63" s="6">
        <v>40000</v>
      </c>
      <c r="O63" s="6">
        <v>17531.5</v>
      </c>
      <c r="P63" s="6">
        <v>25000</v>
      </c>
      <c r="Q63" s="6">
        <v>35453.75</v>
      </c>
      <c r="R63" s="6">
        <v>40000</v>
      </c>
      <c r="U63" s="5"/>
      <c r="V63" s="5">
        <f t="shared" si="1"/>
        <v>0</v>
      </c>
      <c r="W63" s="5">
        <f t="shared" si="14"/>
        <v>0</v>
      </c>
      <c r="X63" s="57"/>
      <c r="Y63" s="6">
        <v>40000</v>
      </c>
      <c r="Z63" s="6">
        <v>56585</v>
      </c>
      <c r="AA63" s="6">
        <f t="shared" si="16"/>
        <v>40000</v>
      </c>
      <c r="AB63" s="5">
        <v>50657</v>
      </c>
      <c r="AC63" s="6">
        <v>40000</v>
      </c>
      <c r="AD63" s="57">
        <v>40000</v>
      </c>
    </row>
    <row r="64" spans="1:32" x14ac:dyDescent="0.3">
      <c r="A64" s="25">
        <v>1420.0452</v>
      </c>
      <c r="B64" s="64" t="s">
        <v>114</v>
      </c>
      <c r="C64" s="14">
        <v>0</v>
      </c>
      <c r="D64" s="14">
        <v>0</v>
      </c>
      <c r="E64" s="14">
        <v>0</v>
      </c>
      <c r="F64" s="14">
        <v>76306.320000000007</v>
      </c>
      <c r="I64" s="5"/>
      <c r="J64" s="14">
        <v>48844.35</v>
      </c>
      <c r="K64" s="3">
        <v>0</v>
      </c>
      <c r="L64" s="5"/>
      <c r="M64" s="14">
        <v>26316.240000000002</v>
      </c>
      <c r="N64" s="6">
        <v>0</v>
      </c>
      <c r="Q64" s="6">
        <v>0</v>
      </c>
      <c r="R64" s="6">
        <v>0</v>
      </c>
      <c r="U64" s="5"/>
      <c r="V64" s="5"/>
      <c r="W64" s="5">
        <f t="shared" si="14"/>
        <v>0</v>
      </c>
      <c r="X64" s="57"/>
      <c r="Y64" s="6">
        <v>0</v>
      </c>
      <c r="Z64" s="6">
        <v>0</v>
      </c>
      <c r="AA64" s="6">
        <v>0</v>
      </c>
      <c r="AB64" s="57">
        <v>0</v>
      </c>
      <c r="AC64" s="6">
        <v>20000</v>
      </c>
      <c r="AD64" s="57">
        <v>10000</v>
      </c>
    </row>
    <row r="65" spans="1:30" x14ac:dyDescent="0.3">
      <c r="A65" s="25">
        <v>1430.04</v>
      </c>
      <c r="B65" s="64" t="s">
        <v>38</v>
      </c>
      <c r="C65" s="14">
        <v>0</v>
      </c>
      <c r="D65" s="14">
        <v>0</v>
      </c>
      <c r="E65" s="14">
        <v>0</v>
      </c>
      <c r="F65" s="14">
        <v>0</v>
      </c>
      <c r="H65" s="5">
        <f>G65/9.5*12</f>
        <v>0</v>
      </c>
      <c r="I65" s="5"/>
      <c r="J65" s="14">
        <v>0</v>
      </c>
      <c r="K65" s="3">
        <v>0</v>
      </c>
      <c r="L65" s="5">
        <f t="shared" ref="L65:L91" si="17">+H65-K65</f>
        <v>0</v>
      </c>
      <c r="M65" s="14">
        <v>0</v>
      </c>
      <c r="N65" s="6">
        <v>0</v>
      </c>
      <c r="Q65" s="6">
        <v>0</v>
      </c>
      <c r="R65" s="6">
        <f>(Q65/8)*12</f>
        <v>0</v>
      </c>
      <c r="U65" s="5"/>
      <c r="V65" s="5">
        <f t="shared" ref="V65:V117" si="18">SUM(T65:U65)</f>
        <v>0</v>
      </c>
      <c r="W65" s="5">
        <f t="shared" si="14"/>
        <v>0</v>
      </c>
      <c r="X65" s="57"/>
      <c r="Y65" s="6">
        <v>1500</v>
      </c>
      <c r="Z65" s="6">
        <v>0</v>
      </c>
      <c r="AA65" s="6">
        <f>R65</f>
        <v>0</v>
      </c>
      <c r="AB65" s="57">
        <v>0</v>
      </c>
      <c r="AC65" s="6">
        <v>2500</v>
      </c>
      <c r="AD65" s="57">
        <v>2500</v>
      </c>
    </row>
    <row r="66" spans="1:30" x14ac:dyDescent="0.3">
      <c r="A66" s="25">
        <v>1440.04</v>
      </c>
      <c r="B66" s="64" t="s">
        <v>39</v>
      </c>
      <c r="C66" s="14">
        <v>5486.15</v>
      </c>
      <c r="D66" s="14">
        <v>774.25</v>
      </c>
      <c r="E66" s="14">
        <v>2523.84</v>
      </c>
      <c r="F66" s="14">
        <v>4448.59</v>
      </c>
      <c r="G66" s="5">
        <v>3800</v>
      </c>
      <c r="H66" s="5">
        <v>4500</v>
      </c>
      <c r="I66" s="5">
        <v>5000</v>
      </c>
      <c r="J66" s="14">
        <v>5591.13</v>
      </c>
      <c r="K66" s="3">
        <v>4500</v>
      </c>
      <c r="L66" s="5">
        <f t="shared" si="17"/>
        <v>0</v>
      </c>
      <c r="M66" s="14">
        <v>23140</v>
      </c>
      <c r="N66" s="6">
        <v>25000</v>
      </c>
      <c r="O66" s="6">
        <v>11500</v>
      </c>
      <c r="P66" s="6">
        <v>15000</v>
      </c>
      <c r="Q66" s="6">
        <v>21160</v>
      </c>
      <c r="R66" s="6">
        <v>22000</v>
      </c>
      <c r="U66" s="5"/>
      <c r="V66" s="5">
        <f t="shared" si="18"/>
        <v>0</v>
      </c>
      <c r="W66" s="5">
        <f t="shared" si="14"/>
        <v>0</v>
      </c>
      <c r="X66" s="57"/>
      <c r="Y66" s="6">
        <v>10000</v>
      </c>
      <c r="Z66" s="6">
        <v>42300</v>
      </c>
      <c r="AA66" s="6">
        <v>15000</v>
      </c>
      <c r="AB66" s="5">
        <v>24220</v>
      </c>
      <c r="AC66" s="6">
        <v>5000</v>
      </c>
      <c r="AD66" s="57">
        <v>15000</v>
      </c>
    </row>
    <row r="67" spans="1:30" x14ac:dyDescent="0.3">
      <c r="A67" s="25">
        <v>1441.04</v>
      </c>
      <c r="B67" s="64" t="s">
        <v>106</v>
      </c>
      <c r="C67" s="14">
        <v>0</v>
      </c>
      <c r="D67" s="14">
        <v>0</v>
      </c>
      <c r="E67" s="14">
        <v>0</v>
      </c>
      <c r="F67" s="14">
        <v>0</v>
      </c>
      <c r="I67" s="5"/>
      <c r="J67" s="14">
        <v>0</v>
      </c>
      <c r="K67" s="3">
        <v>0</v>
      </c>
      <c r="L67" s="5"/>
      <c r="M67" s="14">
        <v>0</v>
      </c>
      <c r="N67" s="6">
        <v>0</v>
      </c>
      <c r="Q67" s="6">
        <v>7000</v>
      </c>
      <c r="R67" s="6">
        <f>(Q67/8)*12</f>
        <v>10500</v>
      </c>
      <c r="U67" s="5"/>
      <c r="V67" s="5">
        <f>SUM(T67:U67)</f>
        <v>0</v>
      </c>
      <c r="W67" s="5">
        <f t="shared" si="14"/>
        <v>0</v>
      </c>
      <c r="X67" s="57"/>
      <c r="Y67" s="6">
        <v>12000</v>
      </c>
      <c r="Z67" s="6">
        <v>12500</v>
      </c>
      <c r="AA67" s="6">
        <f t="shared" ref="AA67:AA75" si="19">R67</f>
        <v>10500</v>
      </c>
      <c r="AB67" s="57">
        <v>9000</v>
      </c>
      <c r="AC67" s="6">
        <v>12000</v>
      </c>
      <c r="AD67" s="57">
        <v>12000</v>
      </c>
    </row>
    <row r="68" spans="1:30" x14ac:dyDescent="0.3">
      <c r="A68" s="25">
        <v>1450.0409999999999</v>
      </c>
      <c r="B68" s="64" t="s">
        <v>40</v>
      </c>
      <c r="C68" s="14">
        <v>0</v>
      </c>
      <c r="D68" s="14">
        <v>123.75</v>
      </c>
      <c r="E68" s="14">
        <v>647.25</v>
      </c>
      <c r="F68" s="14">
        <v>115.75</v>
      </c>
      <c r="G68" s="5">
        <v>50.25</v>
      </c>
      <c r="H68" s="5">
        <f>G68/9.5*12</f>
        <v>63.473684210526315</v>
      </c>
      <c r="I68" s="5">
        <v>100</v>
      </c>
      <c r="J68" s="14">
        <v>50.25</v>
      </c>
      <c r="K68" s="3">
        <f>+I68</f>
        <v>100</v>
      </c>
      <c r="L68" s="5">
        <f t="shared" si="17"/>
        <v>-36.526315789473685</v>
      </c>
      <c r="M68" s="14">
        <v>63.45</v>
      </c>
      <c r="N68" s="6">
        <v>100</v>
      </c>
      <c r="O68" s="5">
        <v>63.45</v>
      </c>
      <c r="P68" s="5">
        <v>100</v>
      </c>
      <c r="Q68" s="6">
        <v>0</v>
      </c>
      <c r="R68" s="6">
        <f t="shared" ref="R68:R115" si="20">(Q68/8)*12</f>
        <v>0</v>
      </c>
      <c r="U68" s="5"/>
      <c r="V68" s="5">
        <f t="shared" si="18"/>
        <v>0</v>
      </c>
      <c r="W68" s="5">
        <f t="shared" si="14"/>
        <v>0</v>
      </c>
      <c r="X68" s="57"/>
      <c r="Y68" s="6">
        <v>100</v>
      </c>
      <c r="Z68" s="6">
        <v>0</v>
      </c>
      <c r="AA68" s="6">
        <f t="shared" si="19"/>
        <v>0</v>
      </c>
      <c r="AB68" s="57">
        <v>0</v>
      </c>
      <c r="AC68" s="6">
        <v>100</v>
      </c>
      <c r="AD68" s="57">
        <v>100</v>
      </c>
    </row>
    <row r="69" spans="1:30" x14ac:dyDescent="0.3">
      <c r="A69" s="25">
        <v>1450.0440000000001</v>
      </c>
      <c r="B69" s="64" t="s">
        <v>41</v>
      </c>
      <c r="C69" s="14">
        <v>0</v>
      </c>
      <c r="D69" s="14">
        <v>947.54</v>
      </c>
      <c r="E69" s="14">
        <v>300</v>
      </c>
      <c r="F69" s="14">
        <v>500</v>
      </c>
      <c r="G69" s="5">
        <v>109.75</v>
      </c>
      <c r="H69" s="5">
        <f>G69/9.5*12</f>
        <v>138.63157894736841</v>
      </c>
      <c r="I69" s="5">
        <v>300</v>
      </c>
      <c r="J69" s="14">
        <v>109.75</v>
      </c>
      <c r="K69" s="3">
        <f>+I69</f>
        <v>300</v>
      </c>
      <c r="L69" s="5">
        <f t="shared" si="17"/>
        <v>-161.36842105263159</v>
      </c>
      <c r="M69" s="14">
        <v>49</v>
      </c>
      <c r="N69" s="6">
        <v>300</v>
      </c>
      <c r="P69" s="5">
        <f>+K69</f>
        <v>300</v>
      </c>
      <c r="Q69" s="6">
        <v>350</v>
      </c>
      <c r="R69" s="6">
        <f t="shared" si="20"/>
        <v>525</v>
      </c>
      <c r="U69" s="5"/>
      <c r="V69" s="5">
        <f t="shared" si="18"/>
        <v>0</v>
      </c>
      <c r="W69" s="5">
        <f t="shared" si="14"/>
        <v>0</v>
      </c>
      <c r="X69" s="57"/>
      <c r="Y69" s="6">
        <v>300</v>
      </c>
      <c r="Z69" s="6">
        <v>850</v>
      </c>
      <c r="AA69" s="6">
        <f t="shared" si="19"/>
        <v>525</v>
      </c>
      <c r="AB69" s="5">
        <v>997</v>
      </c>
      <c r="AC69" s="6">
        <v>900</v>
      </c>
      <c r="AD69" s="57">
        <v>900</v>
      </c>
    </row>
    <row r="70" spans="1:30" x14ac:dyDescent="0.3">
      <c r="A70" s="25">
        <v>1450.0450000000001</v>
      </c>
      <c r="B70" s="64" t="s">
        <v>42</v>
      </c>
      <c r="C70" s="14">
        <v>180</v>
      </c>
      <c r="D70" s="14">
        <v>360</v>
      </c>
      <c r="E70" s="14">
        <v>360</v>
      </c>
      <c r="F70" s="14">
        <v>90</v>
      </c>
      <c r="G70" s="5">
        <v>90</v>
      </c>
      <c r="H70" s="5">
        <f>G70/9.5*12</f>
        <v>113.68421052631578</v>
      </c>
      <c r="I70" s="5">
        <v>200</v>
      </c>
      <c r="J70" s="14">
        <v>90</v>
      </c>
      <c r="K70" s="3">
        <f>+I70</f>
        <v>200</v>
      </c>
      <c r="L70" s="5">
        <f t="shared" si="17"/>
        <v>-86.31578947368422</v>
      </c>
      <c r="M70" s="14">
        <v>200</v>
      </c>
      <c r="N70" s="6">
        <v>200</v>
      </c>
      <c r="P70" s="5">
        <f>+K70</f>
        <v>200</v>
      </c>
      <c r="Q70" s="6">
        <v>0</v>
      </c>
      <c r="R70" s="6">
        <f t="shared" si="20"/>
        <v>0</v>
      </c>
      <c r="U70" s="5"/>
      <c r="V70" s="5">
        <f t="shared" si="18"/>
        <v>0</v>
      </c>
      <c r="W70" s="5">
        <f t="shared" si="14"/>
        <v>0</v>
      </c>
      <c r="X70" s="57"/>
      <c r="Y70" s="6">
        <v>450</v>
      </c>
      <c r="Z70" s="6">
        <v>450</v>
      </c>
      <c r="AA70" s="6">
        <f t="shared" si="19"/>
        <v>0</v>
      </c>
      <c r="AB70" s="57">
        <v>0</v>
      </c>
      <c r="AC70" s="6">
        <v>300</v>
      </c>
      <c r="AD70" s="57">
        <v>300</v>
      </c>
    </row>
    <row r="71" spans="1:30" x14ac:dyDescent="0.3">
      <c r="A71" s="25">
        <v>1620.021</v>
      </c>
      <c r="B71" s="64" t="s">
        <v>43</v>
      </c>
      <c r="C71" s="14">
        <v>675</v>
      </c>
      <c r="D71" s="14">
        <v>27250</v>
      </c>
      <c r="E71" s="14">
        <v>13400</v>
      </c>
      <c r="F71" s="14">
        <v>1205</v>
      </c>
      <c r="G71" s="5">
        <v>0</v>
      </c>
      <c r="H71" s="5">
        <v>15000</v>
      </c>
      <c r="I71" s="5">
        <v>25000</v>
      </c>
      <c r="J71" s="14">
        <v>15750</v>
      </c>
      <c r="K71" s="3">
        <v>10000</v>
      </c>
      <c r="L71" s="5">
        <f t="shared" si="17"/>
        <v>5000</v>
      </c>
      <c r="M71" s="14">
        <v>0</v>
      </c>
      <c r="N71" s="6">
        <v>10000</v>
      </c>
      <c r="P71" s="5">
        <v>2500</v>
      </c>
      <c r="Q71" s="6">
        <v>0</v>
      </c>
      <c r="R71" s="6">
        <v>0</v>
      </c>
      <c r="U71" s="5"/>
      <c r="V71" s="5">
        <f t="shared" si="18"/>
        <v>0</v>
      </c>
      <c r="W71" s="5">
        <f t="shared" si="14"/>
        <v>0</v>
      </c>
      <c r="X71" s="57"/>
      <c r="Y71" s="6">
        <v>0</v>
      </c>
      <c r="Z71" s="6">
        <v>24942.58</v>
      </c>
      <c r="AA71" s="6">
        <f t="shared" si="19"/>
        <v>0</v>
      </c>
      <c r="AB71" s="57"/>
      <c r="AC71" s="6">
        <v>0</v>
      </c>
      <c r="AD71" s="57">
        <v>900</v>
      </c>
    </row>
    <row r="72" spans="1:30" x14ac:dyDescent="0.3">
      <c r="A72" s="25">
        <v>1620.0219999999999</v>
      </c>
      <c r="B72" s="64" t="s">
        <v>44</v>
      </c>
      <c r="C72" s="14">
        <v>0</v>
      </c>
      <c r="D72" s="14">
        <v>0</v>
      </c>
      <c r="E72" s="14">
        <v>0</v>
      </c>
      <c r="F72" s="14">
        <v>4349</v>
      </c>
      <c r="G72" s="5">
        <v>9600</v>
      </c>
      <c r="H72" s="5">
        <v>11000</v>
      </c>
      <c r="I72" s="5">
        <v>8000</v>
      </c>
      <c r="J72" s="14">
        <v>3650</v>
      </c>
      <c r="K72" s="3">
        <v>5000</v>
      </c>
      <c r="L72" s="5">
        <f t="shared" si="17"/>
        <v>6000</v>
      </c>
      <c r="M72" s="14">
        <v>0</v>
      </c>
      <c r="N72" s="6">
        <v>5000</v>
      </c>
      <c r="P72" s="5">
        <v>0</v>
      </c>
      <c r="Q72" s="6">
        <v>0</v>
      </c>
      <c r="R72" s="6">
        <f t="shared" si="20"/>
        <v>0</v>
      </c>
      <c r="U72" s="5"/>
      <c r="V72" s="5">
        <f t="shared" si="18"/>
        <v>0</v>
      </c>
      <c r="W72" s="5">
        <f t="shared" si="14"/>
        <v>0</v>
      </c>
      <c r="X72" s="57"/>
      <c r="Y72" s="6">
        <v>0</v>
      </c>
      <c r="Z72" s="6">
        <v>0</v>
      </c>
      <c r="AA72" s="6">
        <f t="shared" si="19"/>
        <v>0</v>
      </c>
      <c r="AB72" s="57"/>
      <c r="AC72" s="6">
        <v>5000</v>
      </c>
      <c r="AD72" s="57">
        <v>5000</v>
      </c>
    </row>
    <row r="73" spans="1:30" x14ac:dyDescent="0.3">
      <c r="A73" s="25">
        <v>1620.0409999999999</v>
      </c>
      <c r="B73" s="64" t="s">
        <v>45</v>
      </c>
      <c r="C73" s="14">
        <v>155</v>
      </c>
      <c r="D73" s="14">
        <v>22.95</v>
      </c>
      <c r="E73" s="14">
        <v>0</v>
      </c>
      <c r="F73" s="14">
        <v>182.43</v>
      </c>
      <c r="H73" s="5">
        <f>G73/9.5*12</f>
        <v>0</v>
      </c>
      <c r="I73" s="5"/>
      <c r="J73" s="14">
        <v>0</v>
      </c>
      <c r="K73" s="3">
        <v>0</v>
      </c>
      <c r="L73" s="5">
        <f t="shared" si="17"/>
        <v>0</v>
      </c>
      <c r="M73" s="14">
        <v>350</v>
      </c>
      <c r="N73" s="6">
        <v>0</v>
      </c>
      <c r="O73" s="5">
        <v>350</v>
      </c>
      <c r="P73" s="5">
        <f>+O73</f>
        <v>350</v>
      </c>
      <c r="Q73" s="6">
        <v>169</v>
      </c>
      <c r="R73" s="6">
        <v>250</v>
      </c>
      <c r="U73" s="5"/>
      <c r="V73" s="5">
        <f t="shared" si="18"/>
        <v>0</v>
      </c>
      <c r="W73" s="5">
        <f t="shared" si="14"/>
        <v>0</v>
      </c>
      <c r="X73" s="57"/>
      <c r="Y73" s="6">
        <v>500</v>
      </c>
      <c r="Z73" s="6">
        <v>199</v>
      </c>
      <c r="AA73" s="6">
        <f t="shared" si="19"/>
        <v>250</v>
      </c>
      <c r="AB73" s="57">
        <v>169</v>
      </c>
      <c r="AC73" s="6">
        <v>500</v>
      </c>
      <c r="AD73" s="57">
        <v>500</v>
      </c>
    </row>
    <row r="74" spans="1:30" x14ac:dyDescent="0.3">
      <c r="A74" s="25">
        <v>1620.0419999999999</v>
      </c>
      <c r="B74" s="64" t="s">
        <v>46</v>
      </c>
      <c r="C74" s="14">
        <v>8367.44</v>
      </c>
      <c r="D74" s="14">
        <v>11307.46</v>
      </c>
      <c r="E74" s="14">
        <v>11692.49</v>
      </c>
      <c r="F74" s="14">
        <v>9596.5300000000007</v>
      </c>
      <c r="G74" s="5">
        <v>6453.79</v>
      </c>
      <c r="H74" s="5">
        <f>G74/9.5*12</f>
        <v>8152.1557894736843</v>
      </c>
      <c r="I74" s="5">
        <v>11000</v>
      </c>
      <c r="J74" s="14">
        <v>10821.65</v>
      </c>
      <c r="K74" s="3">
        <v>10000</v>
      </c>
      <c r="L74" s="5">
        <f t="shared" si="17"/>
        <v>-1847.8442105263157</v>
      </c>
      <c r="M74" s="14">
        <v>10786.93</v>
      </c>
      <c r="N74" s="6">
        <v>7500</v>
      </c>
      <c r="O74" s="6">
        <v>6699.17</v>
      </c>
      <c r="P74" s="6">
        <v>10000</v>
      </c>
      <c r="Q74" s="6">
        <v>5170.71</v>
      </c>
      <c r="R74" s="6">
        <v>7500</v>
      </c>
      <c r="U74" s="5"/>
      <c r="V74" s="5">
        <f t="shared" si="18"/>
        <v>0</v>
      </c>
      <c r="W74" s="5">
        <f t="shared" si="14"/>
        <v>0</v>
      </c>
      <c r="X74" s="57"/>
      <c r="Y74" s="6">
        <v>7500</v>
      </c>
      <c r="Z74" s="6">
        <v>8133.9</v>
      </c>
      <c r="AA74" s="6">
        <f t="shared" si="19"/>
        <v>7500</v>
      </c>
      <c r="AB74" s="57">
        <v>7244</v>
      </c>
      <c r="AC74" s="6">
        <v>10000</v>
      </c>
      <c r="AD74" s="57">
        <v>10000</v>
      </c>
    </row>
    <row r="75" spans="1:30" x14ac:dyDescent="0.3">
      <c r="A75" s="25">
        <v>1620.0440000000001</v>
      </c>
      <c r="B75" s="64" t="s">
        <v>47</v>
      </c>
      <c r="C75" s="14">
        <v>7590</v>
      </c>
      <c r="D75" s="14">
        <v>5791.33</v>
      </c>
      <c r="E75" s="14">
        <v>2114.21</v>
      </c>
      <c r="F75" s="14">
        <v>5527.99</v>
      </c>
      <c r="G75" s="5">
        <v>2349.37</v>
      </c>
      <c r="H75" s="5">
        <f>G75/9.5*12</f>
        <v>2967.6252631578946</v>
      </c>
      <c r="I75" s="5">
        <v>6000</v>
      </c>
      <c r="J75" s="14">
        <v>3423.4</v>
      </c>
      <c r="K75" s="3">
        <v>5000</v>
      </c>
      <c r="L75" s="5">
        <f t="shared" si="17"/>
        <v>-2032.3747368421054</v>
      </c>
      <c r="M75" s="14">
        <v>4471.93</v>
      </c>
      <c r="N75" s="6">
        <v>4000</v>
      </c>
      <c r="O75" s="6">
        <v>3298.93</v>
      </c>
      <c r="P75" s="6">
        <f>+K75</f>
        <v>5000</v>
      </c>
      <c r="Q75" s="6">
        <v>2928.56</v>
      </c>
      <c r="R75" s="6">
        <v>4000</v>
      </c>
      <c r="U75" s="5"/>
      <c r="V75" s="5">
        <f t="shared" si="18"/>
        <v>0</v>
      </c>
      <c r="W75" s="5">
        <f t="shared" si="14"/>
        <v>0</v>
      </c>
      <c r="X75" s="57"/>
      <c r="Y75" s="6">
        <v>5000</v>
      </c>
      <c r="Z75" s="6">
        <v>4276.84</v>
      </c>
      <c r="AA75" s="6">
        <f t="shared" si="19"/>
        <v>4000</v>
      </c>
      <c r="AB75" s="57">
        <v>4304</v>
      </c>
      <c r="AC75" s="6">
        <v>5000</v>
      </c>
      <c r="AD75" s="57">
        <v>5000</v>
      </c>
    </row>
    <row r="76" spans="1:30" x14ac:dyDescent="0.3">
      <c r="A76" s="25">
        <v>1620.0450000000001</v>
      </c>
      <c r="B76" s="64" t="s">
        <v>138</v>
      </c>
      <c r="C76" s="14">
        <v>5347.14</v>
      </c>
      <c r="D76" s="14">
        <v>1280</v>
      </c>
      <c r="E76" s="14">
        <v>1730</v>
      </c>
      <c r="F76" s="14">
        <v>4628.99</v>
      </c>
      <c r="G76" s="5">
        <v>4380</v>
      </c>
      <c r="H76" s="5">
        <f>G76/9.5*12</f>
        <v>5532.6315789473683</v>
      </c>
      <c r="I76" s="5">
        <v>5000</v>
      </c>
      <c r="J76" s="14">
        <v>5999</v>
      </c>
      <c r="K76" s="3">
        <f>+I76</f>
        <v>5000</v>
      </c>
      <c r="L76" s="5">
        <f t="shared" si="17"/>
        <v>532.63157894736833</v>
      </c>
      <c r="M76" s="14">
        <v>8115.79</v>
      </c>
      <c r="N76" s="6">
        <v>6000</v>
      </c>
      <c r="O76" s="6">
        <v>4656.99</v>
      </c>
      <c r="P76" s="6">
        <v>6000</v>
      </c>
      <c r="Q76" s="6">
        <v>8831.81</v>
      </c>
      <c r="R76" s="6">
        <v>10000</v>
      </c>
      <c r="U76" s="5"/>
      <c r="V76" s="5">
        <f t="shared" si="18"/>
        <v>0</v>
      </c>
      <c r="W76" s="5">
        <f t="shared" si="14"/>
        <v>0</v>
      </c>
      <c r="X76" s="57"/>
      <c r="Y76" s="6">
        <v>6000</v>
      </c>
      <c r="Z76" s="6">
        <v>10041.56</v>
      </c>
      <c r="AA76" s="6">
        <v>6500</v>
      </c>
      <c r="AB76" s="5">
        <v>8741</v>
      </c>
      <c r="AC76" s="6">
        <v>7800</v>
      </c>
      <c r="AD76" s="57">
        <v>7800</v>
      </c>
    </row>
    <row r="77" spans="1:30" x14ac:dyDescent="0.3">
      <c r="A77" s="25">
        <v>1910.04</v>
      </c>
      <c r="B77" s="64" t="s">
        <v>48</v>
      </c>
      <c r="C77" s="14">
        <v>29138.75</v>
      </c>
      <c r="D77" s="14">
        <v>30730.9</v>
      </c>
      <c r="E77" s="14">
        <v>33879.57</v>
      </c>
      <c r="F77" s="14">
        <v>35080.17</v>
      </c>
      <c r="G77" s="5">
        <v>35859.43</v>
      </c>
      <c r="H77" s="5">
        <f>G77/9.5*12</f>
        <v>45296.122105263159</v>
      </c>
      <c r="I77" s="5">
        <v>38000</v>
      </c>
      <c r="J77" s="14">
        <v>35859.43</v>
      </c>
      <c r="K77" s="3">
        <f>+I77</f>
        <v>38000</v>
      </c>
      <c r="L77" s="5">
        <f t="shared" si="17"/>
        <v>7296.122105263159</v>
      </c>
      <c r="M77" s="14">
        <v>37308.89</v>
      </c>
      <c r="N77" s="6">
        <v>37000</v>
      </c>
      <c r="O77" s="6">
        <v>35943.89</v>
      </c>
      <c r="P77" s="6">
        <f>+O77</f>
        <v>35943.89</v>
      </c>
      <c r="Q77" s="6">
        <v>53704.83</v>
      </c>
      <c r="R77" s="6">
        <v>40000</v>
      </c>
      <c r="U77" s="5"/>
      <c r="V77" s="5">
        <f t="shared" si="18"/>
        <v>0</v>
      </c>
      <c r="W77" s="5">
        <f t="shared" si="14"/>
        <v>0</v>
      </c>
      <c r="X77" s="57"/>
      <c r="Y77" s="6">
        <v>40000</v>
      </c>
      <c r="Z77" s="6">
        <v>38938.410000000003</v>
      </c>
      <c r="AA77" s="6">
        <f t="shared" ref="AA77:AA87" si="21">R77</f>
        <v>40000</v>
      </c>
      <c r="AB77" s="57">
        <v>39691</v>
      </c>
      <c r="AC77" s="6">
        <v>39000</v>
      </c>
      <c r="AD77" s="57">
        <v>42000</v>
      </c>
    </row>
    <row r="78" spans="1:30" x14ac:dyDescent="0.3">
      <c r="A78" s="25">
        <v>1920.04</v>
      </c>
      <c r="B78" s="64" t="s">
        <v>49</v>
      </c>
      <c r="C78" s="14">
        <v>5353</v>
      </c>
      <c r="D78" s="14">
        <v>3890</v>
      </c>
      <c r="E78" s="14">
        <v>7837.77</v>
      </c>
      <c r="F78" s="14">
        <v>5378</v>
      </c>
      <c r="G78" s="5">
        <v>5878</v>
      </c>
      <c r="H78" s="5">
        <f>+G78</f>
        <v>5878</v>
      </c>
      <c r="I78" s="5">
        <v>5000</v>
      </c>
      <c r="J78" s="14">
        <v>6928</v>
      </c>
      <c r="K78" s="3">
        <v>6000</v>
      </c>
      <c r="L78" s="5">
        <f t="shared" si="17"/>
        <v>-122</v>
      </c>
      <c r="M78" s="14">
        <v>7276</v>
      </c>
      <c r="N78" s="6">
        <v>3000</v>
      </c>
      <c r="O78" s="6">
        <v>1550</v>
      </c>
      <c r="P78" s="6">
        <f>+O78+2000</f>
        <v>3550</v>
      </c>
      <c r="Q78" s="6">
        <v>3955</v>
      </c>
      <c r="R78" s="6">
        <v>6000</v>
      </c>
      <c r="U78" s="5"/>
      <c r="V78" s="5">
        <f t="shared" si="18"/>
        <v>0</v>
      </c>
      <c r="W78" s="5">
        <f t="shared" si="14"/>
        <v>0</v>
      </c>
      <c r="X78" s="57"/>
      <c r="Y78" s="6">
        <v>3000</v>
      </c>
      <c r="Z78" s="6">
        <v>8168</v>
      </c>
      <c r="AA78" s="6">
        <f t="shared" si="21"/>
        <v>6000</v>
      </c>
      <c r="AB78" s="57">
        <v>2713</v>
      </c>
      <c r="AC78" s="6">
        <v>6000</v>
      </c>
      <c r="AD78" s="57">
        <v>6000</v>
      </c>
    </row>
    <row r="79" spans="1:30" x14ac:dyDescent="0.3">
      <c r="A79" s="25">
        <v>1950.04</v>
      </c>
      <c r="B79" s="64" t="s">
        <v>50</v>
      </c>
      <c r="C79" s="14">
        <v>0</v>
      </c>
      <c r="D79" s="14">
        <v>0</v>
      </c>
      <c r="E79" s="14">
        <v>410.4</v>
      </c>
      <c r="F79" s="14">
        <v>0</v>
      </c>
      <c r="H79" s="5">
        <f>G79/9.5*12</f>
        <v>0</v>
      </c>
      <c r="I79" s="5">
        <v>0</v>
      </c>
      <c r="J79" s="14">
        <v>0</v>
      </c>
      <c r="K79" s="3">
        <v>0</v>
      </c>
      <c r="L79" s="5">
        <f t="shared" si="17"/>
        <v>0</v>
      </c>
      <c r="M79" s="14">
        <v>0</v>
      </c>
      <c r="N79" s="6">
        <v>0</v>
      </c>
      <c r="O79" s="6"/>
      <c r="P79" s="6"/>
      <c r="R79" s="6">
        <f t="shared" si="20"/>
        <v>0</v>
      </c>
      <c r="U79" s="5"/>
      <c r="V79" s="5">
        <f t="shared" si="18"/>
        <v>0</v>
      </c>
      <c r="W79" s="5">
        <f t="shared" si="14"/>
        <v>0</v>
      </c>
      <c r="X79" s="57"/>
      <c r="Y79" s="6">
        <v>0</v>
      </c>
      <c r="Z79" s="6">
        <v>0</v>
      </c>
      <c r="AA79" s="6">
        <f t="shared" si="21"/>
        <v>0</v>
      </c>
      <c r="AB79" s="57">
        <v>0</v>
      </c>
      <c r="AC79" s="6">
        <v>10000</v>
      </c>
      <c r="AD79" s="57">
        <v>10000</v>
      </c>
    </row>
    <row r="80" spans="1:30" x14ac:dyDescent="0.3">
      <c r="A80" s="25">
        <v>3310.0410000000002</v>
      </c>
      <c r="B80" s="64" t="s">
        <v>52</v>
      </c>
      <c r="C80" s="14">
        <v>0</v>
      </c>
      <c r="D80" s="14">
        <v>826.16</v>
      </c>
      <c r="E80" s="14">
        <v>0</v>
      </c>
      <c r="F80" s="14">
        <v>8574.32</v>
      </c>
      <c r="H80" s="5">
        <f>G80/9.5*12</f>
        <v>0</v>
      </c>
      <c r="I80" s="5">
        <v>2000</v>
      </c>
      <c r="J80" s="14">
        <v>0</v>
      </c>
      <c r="K80" s="3">
        <f>+I80</f>
        <v>2000</v>
      </c>
      <c r="L80" s="5">
        <f t="shared" si="17"/>
        <v>-2000</v>
      </c>
      <c r="M80" s="14">
        <v>0</v>
      </c>
      <c r="N80" s="6">
        <v>2000</v>
      </c>
      <c r="O80" s="6"/>
      <c r="P80" s="6">
        <v>1000</v>
      </c>
      <c r="Q80" s="6">
        <v>0</v>
      </c>
      <c r="R80" s="6">
        <f t="shared" si="20"/>
        <v>0</v>
      </c>
      <c r="U80" s="5"/>
      <c r="V80" s="5">
        <f t="shared" si="18"/>
        <v>0</v>
      </c>
      <c r="W80" s="5">
        <f t="shared" si="14"/>
        <v>0</v>
      </c>
      <c r="X80" s="57"/>
      <c r="Y80" s="6">
        <v>0</v>
      </c>
      <c r="Z80" s="6">
        <v>0</v>
      </c>
      <c r="AA80" s="6">
        <f t="shared" si="21"/>
        <v>0</v>
      </c>
      <c r="AB80" s="57">
        <v>0</v>
      </c>
      <c r="AC80" s="6">
        <v>2000</v>
      </c>
      <c r="AD80" s="57">
        <v>2000</v>
      </c>
    </row>
    <row r="81" spans="1:32" x14ac:dyDescent="0.3">
      <c r="A81" s="25">
        <v>3310.0439999999999</v>
      </c>
      <c r="B81" s="64" t="s">
        <v>53</v>
      </c>
      <c r="C81" s="14">
        <v>1322</v>
      </c>
      <c r="D81" s="14">
        <v>680</v>
      </c>
      <c r="E81" s="14">
        <v>880</v>
      </c>
      <c r="F81" s="14">
        <v>1406</v>
      </c>
      <c r="G81" s="5">
        <v>1686</v>
      </c>
      <c r="H81" s="5">
        <v>2000</v>
      </c>
      <c r="I81" s="5">
        <v>1000</v>
      </c>
      <c r="J81" s="14">
        <v>1686</v>
      </c>
      <c r="K81" s="3">
        <f>+I81</f>
        <v>1000</v>
      </c>
      <c r="L81" s="5">
        <f t="shared" si="17"/>
        <v>1000</v>
      </c>
      <c r="M81" s="14">
        <v>1666</v>
      </c>
      <c r="N81" s="6">
        <v>2000</v>
      </c>
      <c r="O81" s="6"/>
      <c r="P81" s="6">
        <v>1000</v>
      </c>
      <c r="Q81" s="6">
        <v>1125</v>
      </c>
      <c r="R81" s="6">
        <v>1500</v>
      </c>
      <c r="U81" s="5"/>
      <c r="V81" s="5">
        <f t="shared" si="18"/>
        <v>0</v>
      </c>
      <c r="W81" s="5">
        <f t="shared" si="14"/>
        <v>0</v>
      </c>
      <c r="X81" s="57"/>
      <c r="Y81" s="6">
        <v>0</v>
      </c>
      <c r="Z81" s="6">
        <v>1775</v>
      </c>
      <c r="AA81" s="6">
        <f t="shared" si="21"/>
        <v>1500</v>
      </c>
      <c r="AB81" s="57">
        <v>1740</v>
      </c>
      <c r="AC81" s="6">
        <v>0</v>
      </c>
      <c r="AD81" s="57">
        <v>0</v>
      </c>
    </row>
    <row r="82" spans="1:32" x14ac:dyDescent="0.3">
      <c r="A82" s="25">
        <v>3620.01</v>
      </c>
      <c r="B82" s="64" t="s">
        <v>54</v>
      </c>
      <c r="C82" s="14">
        <v>43945.18</v>
      </c>
      <c r="D82" s="14">
        <v>44296.74</v>
      </c>
      <c r="E82" s="14">
        <v>42656.12</v>
      </c>
      <c r="F82" s="14">
        <v>43722.12</v>
      </c>
      <c r="G82" s="5">
        <v>33632.400000000001</v>
      </c>
      <c r="H82" s="5">
        <f>G82/9.5*12</f>
        <v>42483.031578947368</v>
      </c>
      <c r="I82" s="5">
        <v>43722</v>
      </c>
      <c r="J82" s="14">
        <v>43722.12</v>
      </c>
      <c r="K82" s="3">
        <f>+I82</f>
        <v>43722</v>
      </c>
      <c r="L82" s="5">
        <f t="shared" si="17"/>
        <v>-1238.968421052632</v>
      </c>
      <c r="M82" s="14">
        <v>43722.12</v>
      </c>
      <c r="N82" s="6">
        <v>43722</v>
      </c>
      <c r="O82" s="6">
        <v>31950.78</v>
      </c>
      <c r="P82" s="6">
        <f>+K82</f>
        <v>43722</v>
      </c>
      <c r="Q82" s="6">
        <v>29428.35</v>
      </c>
      <c r="R82" s="6">
        <v>45000</v>
      </c>
      <c r="U82" s="5"/>
      <c r="V82" s="5">
        <f t="shared" si="18"/>
        <v>0</v>
      </c>
      <c r="W82" s="5">
        <f t="shared" si="14"/>
        <v>0</v>
      </c>
      <c r="X82" s="57"/>
      <c r="Y82" s="6">
        <v>43722</v>
      </c>
      <c r="Z82" s="6">
        <v>43890.28</v>
      </c>
      <c r="AA82" s="6">
        <f t="shared" si="21"/>
        <v>45000</v>
      </c>
      <c r="AB82" s="57">
        <v>43892</v>
      </c>
      <c r="AC82" s="6">
        <v>45900</v>
      </c>
      <c r="AD82" s="57">
        <v>47277</v>
      </c>
    </row>
    <row r="83" spans="1:32" x14ac:dyDescent="0.3">
      <c r="A83" s="25">
        <v>3620.0439999999999</v>
      </c>
      <c r="B83" s="64" t="s">
        <v>55</v>
      </c>
      <c r="C83" s="14">
        <v>7357.87</v>
      </c>
      <c r="D83" s="14">
        <v>6899</v>
      </c>
      <c r="E83" s="14">
        <v>6819.62</v>
      </c>
      <c r="F83" s="14">
        <v>10812</v>
      </c>
      <c r="G83" s="5">
        <v>5891</v>
      </c>
      <c r="H83" s="5">
        <v>6000</v>
      </c>
      <c r="I83" s="5">
        <v>5000</v>
      </c>
      <c r="J83" s="14">
        <v>7128.5</v>
      </c>
      <c r="K83" s="3">
        <f>+I83</f>
        <v>5000</v>
      </c>
      <c r="L83" s="5">
        <f t="shared" si="17"/>
        <v>1000</v>
      </c>
      <c r="M83" s="14">
        <v>4858.74</v>
      </c>
      <c r="N83" s="6">
        <v>3000</v>
      </c>
      <c r="O83" s="6">
        <v>1376.99</v>
      </c>
      <c r="P83" s="6">
        <v>3000</v>
      </c>
      <c r="Q83" s="6">
        <v>99.49</v>
      </c>
      <c r="R83" s="6">
        <v>150</v>
      </c>
      <c r="U83" s="5"/>
      <c r="V83" s="5">
        <f t="shared" si="18"/>
        <v>0</v>
      </c>
      <c r="W83" s="5">
        <f t="shared" si="14"/>
        <v>0</v>
      </c>
      <c r="X83" s="57"/>
      <c r="Y83" s="6">
        <v>0</v>
      </c>
      <c r="Z83" s="6">
        <v>99.49</v>
      </c>
      <c r="AA83" s="6">
        <f t="shared" si="21"/>
        <v>150</v>
      </c>
      <c r="AB83" s="57">
        <v>400</v>
      </c>
      <c r="AC83" s="6">
        <v>2600</v>
      </c>
      <c r="AD83" s="57">
        <v>2600</v>
      </c>
    </row>
    <row r="84" spans="1:32" x14ac:dyDescent="0.3">
      <c r="A84" s="25">
        <v>3620.0450000000001</v>
      </c>
      <c r="B84" s="64" t="s">
        <v>115</v>
      </c>
      <c r="C84" s="14">
        <v>0</v>
      </c>
      <c r="D84" s="14">
        <v>0</v>
      </c>
      <c r="E84" s="14">
        <v>0</v>
      </c>
      <c r="F84" s="14">
        <v>1914</v>
      </c>
      <c r="I84" s="5"/>
      <c r="J84" s="14">
        <v>2499.84</v>
      </c>
      <c r="K84" s="3">
        <v>0</v>
      </c>
      <c r="L84" s="5"/>
      <c r="M84" s="14">
        <v>0</v>
      </c>
      <c r="N84" s="6">
        <v>0</v>
      </c>
      <c r="O84" s="6"/>
      <c r="P84" s="6"/>
      <c r="Q84" s="6">
        <v>3304.3</v>
      </c>
      <c r="R84" s="6">
        <v>5000</v>
      </c>
      <c r="U84" s="5"/>
      <c r="V84" s="5"/>
      <c r="W84" s="5">
        <f t="shared" si="14"/>
        <v>0</v>
      </c>
      <c r="X84" s="57"/>
      <c r="Y84" s="6">
        <v>0</v>
      </c>
      <c r="Z84" s="6">
        <v>4262.3</v>
      </c>
      <c r="AA84" s="6">
        <f t="shared" si="21"/>
        <v>5000</v>
      </c>
      <c r="AB84" s="57">
        <v>0</v>
      </c>
      <c r="AC84" s="6">
        <v>5000</v>
      </c>
      <c r="AD84" s="57">
        <v>5000</v>
      </c>
    </row>
    <row r="85" spans="1:32" x14ac:dyDescent="0.3">
      <c r="A85" s="25">
        <v>5110.01</v>
      </c>
      <c r="B85" s="64" t="s">
        <v>56</v>
      </c>
      <c r="C85" s="14">
        <v>162914.99</v>
      </c>
      <c r="D85" s="14">
        <v>162038.81</v>
      </c>
      <c r="E85" s="14">
        <v>156708.07999999999</v>
      </c>
      <c r="F85" s="14">
        <v>153501.92000000001</v>
      </c>
      <c r="G85" s="5">
        <v>111119.4</v>
      </c>
      <c r="H85" s="5">
        <f>G85/9.5*12</f>
        <v>140361.34736842103</v>
      </c>
      <c r="I85" s="5">
        <v>129759</v>
      </c>
      <c r="J85" s="14">
        <v>141063.84</v>
      </c>
      <c r="K85" s="3">
        <v>132324</v>
      </c>
      <c r="L85" s="5">
        <f t="shared" si="17"/>
        <v>8037.347368421033</v>
      </c>
      <c r="M85" s="14">
        <v>132354.82</v>
      </c>
      <c r="N85" s="6">
        <v>140424</v>
      </c>
      <c r="O85" s="6">
        <v>96720.83</v>
      </c>
      <c r="P85" s="6">
        <f>+K85</f>
        <v>132324</v>
      </c>
      <c r="Q85" s="6">
        <v>85173.9</v>
      </c>
      <c r="R85" s="6">
        <v>128000</v>
      </c>
      <c r="U85" s="5"/>
      <c r="V85" s="5">
        <f t="shared" si="18"/>
        <v>0</v>
      </c>
      <c r="W85" s="5">
        <f t="shared" si="14"/>
        <v>0</v>
      </c>
      <c r="X85" s="57"/>
      <c r="Y85" s="6">
        <v>141097</v>
      </c>
      <c r="Z85" s="6">
        <v>127535.25</v>
      </c>
      <c r="AA85" s="6">
        <f t="shared" si="21"/>
        <v>128000</v>
      </c>
      <c r="AB85" s="57">
        <v>124512</v>
      </c>
      <c r="AC85" s="6">
        <f>AA85*103%</f>
        <v>131840</v>
      </c>
      <c r="AD85" s="57">
        <v>135795</v>
      </c>
    </row>
    <row r="86" spans="1:32" x14ac:dyDescent="0.3">
      <c r="A86" s="25">
        <v>5110.0101000000004</v>
      </c>
      <c r="B86" s="64" t="s">
        <v>57</v>
      </c>
      <c r="C86" s="14">
        <v>6500.51</v>
      </c>
      <c r="D86" s="14">
        <v>25406.74</v>
      </c>
      <c r="E86" s="14">
        <v>22486.6</v>
      </c>
      <c r="F86" s="14">
        <v>16863.41</v>
      </c>
      <c r="G86" s="5">
        <v>6207.87</v>
      </c>
      <c r="H86" s="5">
        <f>G86/9.5*12</f>
        <v>7841.52</v>
      </c>
      <c r="I86" s="5">
        <v>18000</v>
      </c>
      <c r="J86" s="14">
        <v>6456.18</v>
      </c>
      <c r="K86" s="3">
        <v>20000</v>
      </c>
      <c r="L86" s="5">
        <f t="shared" si="17"/>
        <v>-12158.48</v>
      </c>
      <c r="M86" s="14">
        <v>6652.96</v>
      </c>
      <c r="N86" s="6">
        <v>20000</v>
      </c>
      <c r="O86" s="6">
        <v>4923.8</v>
      </c>
      <c r="P86" s="6">
        <v>10000</v>
      </c>
      <c r="Q86" s="6">
        <v>4760.04</v>
      </c>
      <c r="R86" s="6">
        <v>5000</v>
      </c>
      <c r="U86" s="5"/>
      <c r="V86" s="5">
        <f t="shared" si="18"/>
        <v>0</v>
      </c>
      <c r="W86" s="5">
        <f t="shared" si="14"/>
        <v>0</v>
      </c>
      <c r="X86" s="57"/>
      <c r="Y86" s="6">
        <v>10000</v>
      </c>
      <c r="Z86" s="6">
        <v>8115.88</v>
      </c>
      <c r="AA86" s="6">
        <f t="shared" si="21"/>
        <v>5000</v>
      </c>
      <c r="AB86" s="57">
        <v>2126</v>
      </c>
      <c r="AC86" s="6">
        <v>10000</v>
      </c>
      <c r="AD86" s="57">
        <v>10300</v>
      </c>
    </row>
    <row r="87" spans="1:32" x14ac:dyDescent="0.3">
      <c r="A87" s="25">
        <v>5110.0200000000004</v>
      </c>
      <c r="B87" s="64" t="s">
        <v>58</v>
      </c>
      <c r="C87" s="14">
        <v>0</v>
      </c>
      <c r="D87" s="14">
        <v>0</v>
      </c>
      <c r="E87" s="14">
        <v>10046.44</v>
      </c>
      <c r="F87" s="14">
        <v>0</v>
      </c>
      <c r="G87" s="5">
        <v>23732.68</v>
      </c>
      <c r="H87" s="5">
        <v>25000</v>
      </c>
      <c r="I87" s="5">
        <v>28000</v>
      </c>
      <c r="J87" s="14">
        <v>3573</v>
      </c>
      <c r="K87" s="3">
        <v>30160</v>
      </c>
      <c r="L87" s="5">
        <f t="shared" si="17"/>
        <v>-5160</v>
      </c>
      <c r="M87" s="14">
        <v>73117.240000000005</v>
      </c>
      <c r="N87" s="6">
        <v>20000</v>
      </c>
      <c r="O87" s="6"/>
      <c r="P87" s="6">
        <v>10000</v>
      </c>
      <c r="Q87" s="6">
        <v>5945</v>
      </c>
      <c r="R87" s="6">
        <v>6000</v>
      </c>
      <c r="U87" s="5"/>
      <c r="V87" s="5">
        <f t="shared" si="18"/>
        <v>0</v>
      </c>
      <c r="W87" s="5">
        <f t="shared" si="14"/>
        <v>0</v>
      </c>
      <c r="X87" s="57"/>
      <c r="Y87" s="6">
        <v>0</v>
      </c>
      <c r="Z87" s="6">
        <v>5945</v>
      </c>
      <c r="AA87" s="6">
        <f t="shared" si="21"/>
        <v>6000</v>
      </c>
      <c r="AB87" s="57">
        <v>0</v>
      </c>
      <c r="AC87" s="6">
        <v>0</v>
      </c>
      <c r="AD87" s="57">
        <v>50000</v>
      </c>
      <c r="AF87" s="2" t="s">
        <v>225</v>
      </c>
    </row>
    <row r="88" spans="1:32" x14ac:dyDescent="0.3">
      <c r="A88" s="25">
        <v>5110.0410000000002</v>
      </c>
      <c r="B88" s="64" t="s">
        <v>59</v>
      </c>
      <c r="C88" s="14">
        <v>8843.85</v>
      </c>
      <c r="D88" s="14">
        <v>5899.01</v>
      </c>
      <c r="E88" s="14">
        <v>6323.44</v>
      </c>
      <c r="F88" s="14">
        <v>6352.46</v>
      </c>
      <c r="G88" s="5">
        <v>10556.74</v>
      </c>
      <c r="H88" s="5">
        <v>12000</v>
      </c>
      <c r="I88" s="5">
        <v>8000</v>
      </c>
      <c r="J88" s="14">
        <v>10913.84</v>
      </c>
      <c r="K88" s="3">
        <f>+I88</f>
        <v>8000</v>
      </c>
      <c r="L88" s="5">
        <f t="shared" si="17"/>
        <v>4000</v>
      </c>
      <c r="M88" s="14">
        <v>6541.35</v>
      </c>
      <c r="N88" s="6">
        <v>10000</v>
      </c>
      <c r="O88" s="6">
        <v>5087.84</v>
      </c>
      <c r="P88" s="6">
        <v>8000</v>
      </c>
      <c r="Q88" s="6">
        <f>13522.37-5945</f>
        <v>7577.3700000000008</v>
      </c>
      <c r="R88" s="6">
        <f>15000-6000</f>
        <v>9000</v>
      </c>
      <c r="U88" s="5"/>
      <c r="V88" s="5">
        <f t="shared" si="18"/>
        <v>0</v>
      </c>
      <c r="W88" s="5">
        <f t="shared" si="14"/>
        <v>0</v>
      </c>
      <c r="X88" s="57"/>
      <c r="Y88" s="6">
        <v>14000</v>
      </c>
      <c r="Z88" s="6">
        <v>9662.68</v>
      </c>
      <c r="AA88" s="6">
        <v>7500</v>
      </c>
      <c r="AB88" s="57">
        <v>5116</v>
      </c>
      <c r="AC88" s="6">
        <v>7500</v>
      </c>
      <c r="AD88" s="57">
        <v>7500</v>
      </c>
    </row>
    <row r="89" spans="1:32" x14ac:dyDescent="0.3">
      <c r="A89" s="25">
        <v>5110.0411000000004</v>
      </c>
      <c r="B89" s="64" t="s">
        <v>60</v>
      </c>
      <c r="C89" s="14">
        <v>10686.28</v>
      </c>
      <c r="D89" s="14">
        <v>10766.48</v>
      </c>
      <c r="E89" s="14">
        <v>11465.22</v>
      </c>
      <c r="F89" s="14">
        <v>9022.33</v>
      </c>
      <c r="G89" s="5">
        <v>5704.56</v>
      </c>
      <c r="H89" s="5">
        <f>G89/9.5*12</f>
        <v>7205.76</v>
      </c>
      <c r="I89" s="5">
        <v>9000</v>
      </c>
      <c r="J89" s="14">
        <v>6616.69</v>
      </c>
      <c r="K89" s="3">
        <v>8500</v>
      </c>
      <c r="L89" s="5">
        <f t="shared" si="17"/>
        <v>-1294.2399999999998</v>
      </c>
      <c r="M89" s="14">
        <v>8740.73</v>
      </c>
      <c r="N89" s="6">
        <v>8000</v>
      </c>
      <c r="O89" s="6">
        <v>5454.87</v>
      </c>
      <c r="P89" s="6">
        <f>+K89</f>
        <v>8500</v>
      </c>
      <c r="Q89" s="6">
        <v>4129.76</v>
      </c>
      <c r="R89" s="6">
        <v>6000</v>
      </c>
      <c r="U89" s="5"/>
      <c r="V89" s="5">
        <f t="shared" si="18"/>
        <v>0</v>
      </c>
      <c r="W89" s="5">
        <f t="shared" si="14"/>
        <v>0</v>
      </c>
      <c r="X89" s="57"/>
      <c r="Y89" s="6">
        <v>8500</v>
      </c>
      <c r="Z89" s="6">
        <v>9085.35</v>
      </c>
      <c r="AA89" s="6">
        <f>R89</f>
        <v>6000</v>
      </c>
      <c r="AB89" s="57">
        <v>3399</v>
      </c>
      <c r="AC89" s="6">
        <v>5000</v>
      </c>
      <c r="AD89" s="57">
        <v>5000</v>
      </c>
    </row>
    <row r="90" spans="1:32" x14ac:dyDescent="0.3">
      <c r="A90" s="25">
        <v>5110.0411999999997</v>
      </c>
      <c r="B90" s="64" t="s">
        <v>61</v>
      </c>
      <c r="C90" s="14">
        <v>12384.54</v>
      </c>
      <c r="D90" s="14">
        <v>7378.34</v>
      </c>
      <c r="E90" s="14">
        <v>18351.990000000002</v>
      </c>
      <c r="F90" s="14">
        <v>16189.67</v>
      </c>
      <c r="G90" s="5">
        <v>9065.5400000000009</v>
      </c>
      <c r="H90" s="5">
        <v>11000</v>
      </c>
      <c r="I90" s="5">
        <v>12500</v>
      </c>
      <c r="J90" s="14">
        <v>10378.73</v>
      </c>
      <c r="K90" s="3">
        <f>+I90</f>
        <v>12500</v>
      </c>
      <c r="L90" s="5">
        <f t="shared" si="17"/>
        <v>-1500</v>
      </c>
      <c r="M90" s="14">
        <v>12441.17</v>
      </c>
      <c r="N90" s="6">
        <v>10000</v>
      </c>
      <c r="O90" s="6">
        <v>7391.62</v>
      </c>
      <c r="P90" s="6">
        <f>+K90+65817</f>
        <v>78317</v>
      </c>
      <c r="Q90" s="6">
        <v>10361.200000000001</v>
      </c>
      <c r="R90" s="6">
        <v>12000</v>
      </c>
      <c r="U90" s="5"/>
      <c r="V90" s="5">
        <f t="shared" si="18"/>
        <v>0</v>
      </c>
      <c r="W90" s="5">
        <f t="shared" si="14"/>
        <v>0</v>
      </c>
      <c r="X90" s="57"/>
      <c r="Y90" s="6">
        <v>10000</v>
      </c>
      <c r="Z90" s="6">
        <v>26825.15</v>
      </c>
      <c r="AA90" s="6">
        <v>1000</v>
      </c>
      <c r="AB90" s="57">
        <v>16949</v>
      </c>
      <c r="AC90" s="6">
        <v>5000</v>
      </c>
      <c r="AD90" s="57">
        <v>10000</v>
      </c>
    </row>
    <row r="91" spans="1:32" x14ac:dyDescent="0.3">
      <c r="A91" s="25">
        <v>5110.0439999999999</v>
      </c>
      <c r="B91" s="64" t="s">
        <v>101</v>
      </c>
      <c r="C91" s="14">
        <v>28084.6</v>
      </c>
      <c r="D91" s="14">
        <v>12248.59</v>
      </c>
      <c r="E91" s="14">
        <v>30758.31</v>
      </c>
      <c r="F91" s="14">
        <v>37757.949999999997</v>
      </c>
      <c r="G91" s="5">
        <v>15468.19</v>
      </c>
      <c r="H91" s="5">
        <f>G91/9.5*12</f>
        <v>19538.766315789475</v>
      </c>
      <c r="I91" s="5">
        <v>30000</v>
      </c>
      <c r="J91" s="14">
        <v>21899.46</v>
      </c>
      <c r="K91" s="3">
        <v>25000</v>
      </c>
      <c r="L91" s="5">
        <f t="shared" si="17"/>
        <v>-5461.2336842105251</v>
      </c>
      <c r="M91" s="14">
        <v>56233.82</v>
      </c>
      <c r="N91" s="6">
        <v>350000</v>
      </c>
      <c r="O91" s="6">
        <v>47012.04</v>
      </c>
      <c r="P91" s="6">
        <v>60000</v>
      </c>
      <c r="Q91" s="6">
        <v>391798.49</v>
      </c>
      <c r="R91" s="6">
        <v>392000</v>
      </c>
      <c r="U91" s="5"/>
      <c r="V91" s="5">
        <f t="shared" si="18"/>
        <v>0</v>
      </c>
      <c r="W91" s="5">
        <f t="shared" si="14"/>
        <v>0</v>
      </c>
      <c r="X91" s="57"/>
      <c r="Y91" s="6">
        <v>375000</v>
      </c>
      <c r="Z91" s="6">
        <v>404919.66</v>
      </c>
      <c r="AA91" s="6">
        <v>375000</v>
      </c>
      <c r="AB91" s="5">
        <v>449709</v>
      </c>
      <c r="AC91" s="6">
        <v>190000</v>
      </c>
      <c r="AD91" s="57">
        <v>311253</v>
      </c>
    </row>
    <row r="92" spans="1:32" x14ac:dyDescent="0.3">
      <c r="A92" s="25">
        <v>5110.0450000000001</v>
      </c>
      <c r="B92" s="64" t="s">
        <v>116</v>
      </c>
      <c r="C92" s="14">
        <v>0</v>
      </c>
      <c r="D92" s="14">
        <v>0</v>
      </c>
      <c r="E92" s="14">
        <v>0</v>
      </c>
      <c r="F92" s="14">
        <v>37500</v>
      </c>
      <c r="I92" s="5"/>
      <c r="J92" s="14">
        <v>0</v>
      </c>
      <c r="K92" s="3">
        <v>0</v>
      </c>
      <c r="L92" s="5"/>
      <c r="M92" s="14">
        <v>0</v>
      </c>
      <c r="N92" s="6">
        <v>0</v>
      </c>
      <c r="O92" s="6"/>
      <c r="P92" s="6"/>
      <c r="R92" s="6">
        <f t="shared" si="20"/>
        <v>0</v>
      </c>
      <c r="U92" s="5"/>
      <c r="V92" s="5"/>
      <c r="W92" s="5">
        <f t="shared" si="14"/>
        <v>0</v>
      </c>
      <c r="X92" s="57"/>
      <c r="Y92" s="6">
        <v>0</v>
      </c>
      <c r="Z92" s="6">
        <v>2500</v>
      </c>
      <c r="AA92" s="6">
        <f>R92</f>
        <v>0</v>
      </c>
      <c r="AB92" s="57">
        <v>0</v>
      </c>
      <c r="AC92" s="6">
        <v>0</v>
      </c>
      <c r="AD92" s="57">
        <v>0</v>
      </c>
    </row>
    <row r="93" spans="1:32" x14ac:dyDescent="0.3">
      <c r="A93" s="25">
        <v>5112.0200000000004</v>
      </c>
      <c r="B93" s="64" t="s">
        <v>62</v>
      </c>
      <c r="C93" s="14">
        <v>51650</v>
      </c>
      <c r="D93" s="14">
        <v>49157.23</v>
      </c>
      <c r="E93" s="14">
        <v>73550</v>
      </c>
      <c r="F93" s="14">
        <v>18800</v>
      </c>
      <c r="G93" s="5">
        <v>112700</v>
      </c>
      <c r="H93" s="5">
        <f>G93/9.5*12</f>
        <v>142357.89473684211</v>
      </c>
      <c r="I93" s="5">
        <v>50000</v>
      </c>
      <c r="J93" s="14">
        <v>135800</v>
      </c>
      <c r="K93" s="3">
        <f>+I93</f>
        <v>50000</v>
      </c>
      <c r="L93" s="5">
        <f t="shared" ref="L93:L96" si="22">+H93-K93</f>
        <v>92357.894736842107</v>
      </c>
      <c r="M93" s="14">
        <v>8700</v>
      </c>
      <c r="N93" s="6">
        <v>40000</v>
      </c>
      <c r="O93" s="6">
        <v>1700</v>
      </c>
      <c r="P93" s="6">
        <f>+P41</f>
        <v>110000</v>
      </c>
      <c r="Q93" s="6">
        <v>0</v>
      </c>
      <c r="R93" s="6">
        <f t="shared" si="20"/>
        <v>0</v>
      </c>
      <c r="U93" s="5"/>
      <c r="V93" s="5">
        <f t="shared" si="18"/>
        <v>0</v>
      </c>
      <c r="W93" s="5">
        <f t="shared" si="14"/>
        <v>0</v>
      </c>
      <c r="X93" s="57"/>
      <c r="Y93" s="6">
        <v>9619</v>
      </c>
      <c r="Z93" s="6">
        <v>0</v>
      </c>
      <c r="AA93" s="6">
        <f>R93</f>
        <v>0</v>
      </c>
      <c r="AB93" s="57">
        <v>0</v>
      </c>
      <c r="AC93" s="6">
        <v>0</v>
      </c>
      <c r="AD93" s="57">
        <v>0</v>
      </c>
    </row>
    <row r="94" spans="1:32" x14ac:dyDescent="0.3">
      <c r="A94" s="25">
        <v>5142.0410000000002</v>
      </c>
      <c r="B94" s="64" t="s">
        <v>63</v>
      </c>
      <c r="C94" s="14">
        <v>3240.46</v>
      </c>
      <c r="D94" s="14">
        <v>6864.59</v>
      </c>
      <c r="E94" s="14">
        <v>15517.22</v>
      </c>
      <c r="F94" s="14">
        <v>10511.77</v>
      </c>
      <c r="G94" s="5">
        <v>8922.4699999999993</v>
      </c>
      <c r="H94" s="5">
        <f>G94/9.5*12</f>
        <v>11270.488421052631</v>
      </c>
      <c r="I94" s="5">
        <v>12000</v>
      </c>
      <c r="J94" s="14">
        <v>8922.4699999999993</v>
      </c>
      <c r="K94" s="3">
        <f>+I94</f>
        <v>12000</v>
      </c>
      <c r="L94" s="5">
        <f t="shared" si="22"/>
        <v>-729.51157894736934</v>
      </c>
      <c r="M94" s="14">
        <v>9173.11</v>
      </c>
      <c r="N94" s="6">
        <v>12000</v>
      </c>
      <c r="O94" s="6">
        <v>6215.95</v>
      </c>
      <c r="P94" s="6">
        <v>8000</v>
      </c>
      <c r="Q94" s="6">
        <v>8234.2000000000007</v>
      </c>
      <c r="R94" s="6">
        <v>8500</v>
      </c>
      <c r="U94" s="5"/>
      <c r="V94" s="5">
        <f t="shared" si="18"/>
        <v>0</v>
      </c>
      <c r="W94" s="5">
        <f t="shared" si="14"/>
        <v>0</v>
      </c>
      <c r="X94" s="57"/>
      <c r="Y94" s="6">
        <v>12000</v>
      </c>
      <c r="Z94" s="6">
        <v>11126.82</v>
      </c>
      <c r="AA94" s="6">
        <f>R94</f>
        <v>8500</v>
      </c>
      <c r="AB94" s="57">
        <v>8257</v>
      </c>
      <c r="AC94" s="6">
        <v>100</v>
      </c>
      <c r="AD94" s="5">
        <v>8500</v>
      </c>
    </row>
    <row r="95" spans="1:32" x14ac:dyDescent="0.3">
      <c r="A95" s="25">
        <v>5182.0441000000001</v>
      </c>
      <c r="B95" s="64" t="s">
        <v>139</v>
      </c>
      <c r="C95" s="14">
        <v>4147.53</v>
      </c>
      <c r="D95" s="14">
        <v>2368.4499999999998</v>
      </c>
      <c r="E95" s="14">
        <v>4252.3900000000003</v>
      </c>
      <c r="F95" s="14">
        <v>4804.1099999999997</v>
      </c>
      <c r="G95" s="5">
        <v>3570.71</v>
      </c>
      <c r="H95" s="5">
        <f>G95/9.5*12</f>
        <v>4510.3705263157899</v>
      </c>
      <c r="I95" s="5">
        <v>5000</v>
      </c>
      <c r="J95" s="14">
        <v>2455.3000000000002</v>
      </c>
      <c r="K95" s="3">
        <f>+I95</f>
        <v>5000</v>
      </c>
      <c r="L95" s="5">
        <f t="shared" si="22"/>
        <v>-489.6294736842101</v>
      </c>
      <c r="M95" s="14">
        <v>3050.6</v>
      </c>
      <c r="N95" s="6">
        <v>5000</v>
      </c>
      <c r="O95" s="6">
        <v>2234.61</v>
      </c>
      <c r="P95" s="6">
        <f>+K95</f>
        <v>5000</v>
      </c>
      <c r="Q95" s="6">
        <v>5072.97</v>
      </c>
      <c r="R95" s="6">
        <v>8000</v>
      </c>
      <c r="U95" s="5"/>
      <c r="V95" s="5">
        <f t="shared" si="18"/>
        <v>0</v>
      </c>
      <c r="W95" s="5">
        <f t="shared" si="14"/>
        <v>0</v>
      </c>
      <c r="X95" s="57"/>
      <c r="Y95" s="6">
        <v>6000</v>
      </c>
      <c r="Z95" s="6">
        <v>7650.29</v>
      </c>
      <c r="AA95" s="6">
        <f>R95</f>
        <v>8000</v>
      </c>
      <c r="AB95" s="57">
        <v>7305</v>
      </c>
      <c r="AC95" s="6">
        <v>5000</v>
      </c>
      <c r="AD95" s="57">
        <v>5000</v>
      </c>
    </row>
    <row r="96" spans="1:32" x14ac:dyDescent="0.3">
      <c r="A96" s="25">
        <v>5182.0442000000003</v>
      </c>
      <c r="B96" s="64" t="s">
        <v>94</v>
      </c>
      <c r="C96" s="14">
        <v>36206.39</v>
      </c>
      <c r="D96" s="14">
        <v>7690</v>
      </c>
      <c r="E96" s="14">
        <v>14211.5</v>
      </c>
      <c r="F96" s="14">
        <v>4651</v>
      </c>
      <c r="G96" s="5">
        <v>3750</v>
      </c>
      <c r="H96" s="5">
        <v>8200</v>
      </c>
      <c r="I96" s="5">
        <v>15000</v>
      </c>
      <c r="J96" s="14">
        <v>9425</v>
      </c>
      <c r="K96" s="3">
        <v>7500</v>
      </c>
      <c r="L96" s="5">
        <f t="shared" si="22"/>
        <v>700</v>
      </c>
      <c r="M96" s="14">
        <v>12754.7</v>
      </c>
      <c r="N96" s="6">
        <v>7500</v>
      </c>
      <c r="O96" s="6">
        <v>4475</v>
      </c>
      <c r="P96" s="6">
        <f>+J96</f>
        <v>9425</v>
      </c>
      <c r="Q96" s="6">
        <v>42585</v>
      </c>
      <c r="R96" s="6">
        <v>45000</v>
      </c>
      <c r="U96" s="5"/>
      <c r="V96" s="5">
        <f t="shared" si="18"/>
        <v>0</v>
      </c>
      <c r="W96" s="5">
        <f t="shared" si="14"/>
        <v>0</v>
      </c>
      <c r="X96" s="57"/>
      <c r="Y96" s="6">
        <v>5000</v>
      </c>
      <c r="Z96" s="6">
        <v>45032.5</v>
      </c>
      <c r="AA96" s="6">
        <v>15000</v>
      </c>
      <c r="AB96" s="57">
        <v>8455</v>
      </c>
      <c r="AC96" s="6">
        <v>7500</v>
      </c>
      <c r="AD96" s="57">
        <v>15000</v>
      </c>
    </row>
    <row r="97" spans="1:32" x14ac:dyDescent="0.3">
      <c r="A97" s="25">
        <v>7110.02</v>
      </c>
      <c r="B97" s="64" t="s">
        <v>100</v>
      </c>
      <c r="C97" s="14">
        <v>0</v>
      </c>
      <c r="D97" s="14">
        <v>0</v>
      </c>
      <c r="E97" s="14">
        <v>0</v>
      </c>
      <c r="F97" s="14">
        <v>0</v>
      </c>
      <c r="I97" s="5"/>
      <c r="J97" s="14">
        <v>0</v>
      </c>
      <c r="K97" s="3">
        <v>0</v>
      </c>
      <c r="L97" s="5"/>
      <c r="M97" s="14">
        <v>7950</v>
      </c>
      <c r="N97" s="6">
        <v>60000</v>
      </c>
      <c r="O97" s="6"/>
      <c r="P97" s="6"/>
      <c r="Q97" s="6">
        <v>59963.3</v>
      </c>
      <c r="R97" s="6">
        <v>60000</v>
      </c>
      <c r="U97" s="5"/>
      <c r="V97" s="5">
        <f t="shared" si="18"/>
        <v>0</v>
      </c>
      <c r="W97" s="5">
        <f t="shared" si="14"/>
        <v>0</v>
      </c>
      <c r="X97" s="57"/>
      <c r="Y97" s="6">
        <v>25000</v>
      </c>
      <c r="Z97" s="6">
        <v>77609.3</v>
      </c>
      <c r="AA97" s="6">
        <v>0</v>
      </c>
      <c r="AB97" s="57">
        <v>6275</v>
      </c>
      <c r="AC97" s="6">
        <v>10000</v>
      </c>
      <c r="AD97" s="57">
        <v>15000</v>
      </c>
    </row>
    <row r="98" spans="1:32" x14ac:dyDescent="0.3">
      <c r="A98" s="25">
        <v>7110.0410000000002</v>
      </c>
      <c r="B98" s="64" t="s">
        <v>65</v>
      </c>
      <c r="C98" s="14">
        <v>9555.8700000000008</v>
      </c>
      <c r="D98" s="14">
        <v>11794.9</v>
      </c>
      <c r="E98" s="14">
        <v>9200.9</v>
      </c>
      <c r="F98" s="14">
        <v>7531</v>
      </c>
      <c r="G98" s="5">
        <v>2673.16</v>
      </c>
      <c r="H98" s="5">
        <f t="shared" ref="H98:H101" si="23">G98/9.5*12</f>
        <v>3376.6231578947363</v>
      </c>
      <c r="I98" s="5">
        <v>5000</v>
      </c>
      <c r="J98" s="14">
        <v>6296.43</v>
      </c>
      <c r="K98" s="3">
        <f>+I98</f>
        <v>5000</v>
      </c>
      <c r="L98" s="5">
        <f t="shared" ref="L98:L117" si="24">+H98-K98</f>
        <v>-1623.3768421052637</v>
      </c>
      <c r="M98" s="14">
        <v>6845.32</v>
      </c>
      <c r="N98" s="6">
        <v>5000</v>
      </c>
      <c r="O98" s="6">
        <v>5624.82</v>
      </c>
      <c r="P98" s="6">
        <v>8000</v>
      </c>
      <c r="Q98" s="6">
        <v>936.23</v>
      </c>
      <c r="R98" s="6">
        <v>1400</v>
      </c>
      <c r="U98" s="5"/>
      <c r="V98" s="5">
        <f t="shared" si="18"/>
        <v>0</v>
      </c>
      <c r="W98" s="5">
        <f t="shared" si="14"/>
        <v>0</v>
      </c>
      <c r="X98" s="57"/>
      <c r="Y98" s="6">
        <v>0</v>
      </c>
      <c r="Z98" s="6">
        <v>1546.92</v>
      </c>
      <c r="AA98" s="6">
        <f>R98</f>
        <v>1400</v>
      </c>
      <c r="AB98" s="57">
        <v>2164</v>
      </c>
      <c r="AC98" s="6">
        <v>1500</v>
      </c>
      <c r="AD98" s="57">
        <v>5000</v>
      </c>
    </row>
    <row r="99" spans="1:32" x14ac:dyDescent="0.3">
      <c r="A99" s="25">
        <v>7110.0439999999999</v>
      </c>
      <c r="B99" s="2" t="s">
        <v>66</v>
      </c>
      <c r="C99" s="14">
        <v>5433.9</v>
      </c>
      <c r="D99" s="14">
        <v>1166.53</v>
      </c>
      <c r="E99" s="14">
        <v>2486.1799999999998</v>
      </c>
      <c r="F99" s="14">
        <v>742.85</v>
      </c>
      <c r="G99" s="5">
        <v>2638.79</v>
      </c>
      <c r="H99" s="5">
        <f t="shared" si="23"/>
        <v>3333.2084210526318</v>
      </c>
      <c r="I99" s="5">
        <v>3500</v>
      </c>
      <c r="J99" s="14">
        <v>2638.79</v>
      </c>
      <c r="K99" s="3">
        <f>+I99</f>
        <v>3500</v>
      </c>
      <c r="L99" s="5">
        <f t="shared" si="24"/>
        <v>-166.79157894736818</v>
      </c>
      <c r="M99" s="14">
        <v>1656.85</v>
      </c>
      <c r="N99" s="6">
        <v>3500</v>
      </c>
      <c r="O99" s="6">
        <v>1421.45</v>
      </c>
      <c r="P99" s="6">
        <v>3000</v>
      </c>
      <c r="Q99" s="6">
        <v>4759.45</v>
      </c>
      <c r="R99" s="6">
        <v>7000</v>
      </c>
      <c r="U99" s="5"/>
      <c r="V99" s="5">
        <f t="shared" si="18"/>
        <v>0</v>
      </c>
      <c r="W99" s="5">
        <f t="shared" si="14"/>
        <v>0</v>
      </c>
      <c r="X99" s="57"/>
      <c r="Y99" s="6">
        <v>1500</v>
      </c>
      <c r="Z99" s="6">
        <v>6530.95</v>
      </c>
      <c r="AA99" s="6">
        <v>2500</v>
      </c>
      <c r="AB99" s="57">
        <v>4510</v>
      </c>
      <c r="AC99" s="6">
        <v>4000</v>
      </c>
      <c r="AD99" s="57">
        <v>6000</v>
      </c>
    </row>
    <row r="100" spans="1:32" x14ac:dyDescent="0.3">
      <c r="A100" s="25">
        <v>7550.0410000000002</v>
      </c>
      <c r="B100" s="2" t="s">
        <v>64</v>
      </c>
      <c r="C100" s="14">
        <v>0</v>
      </c>
      <c r="D100" s="14">
        <v>0</v>
      </c>
      <c r="E100" s="14">
        <v>0</v>
      </c>
      <c r="F100" s="14">
        <v>0</v>
      </c>
      <c r="G100" s="5">
        <v>340</v>
      </c>
      <c r="H100" s="5">
        <f t="shared" si="23"/>
        <v>429.47368421052636</v>
      </c>
      <c r="I100" s="5">
        <v>0</v>
      </c>
      <c r="J100" s="14">
        <v>340</v>
      </c>
      <c r="K100" s="3">
        <v>0</v>
      </c>
      <c r="L100" s="5">
        <f t="shared" si="24"/>
        <v>429.47368421052636</v>
      </c>
      <c r="M100" s="14">
        <v>269.72000000000003</v>
      </c>
      <c r="N100" s="6">
        <v>500</v>
      </c>
      <c r="O100" s="6">
        <v>269.72000000000003</v>
      </c>
      <c r="P100" s="6">
        <v>800</v>
      </c>
      <c r="Q100" s="6">
        <v>0</v>
      </c>
      <c r="R100" s="6">
        <f t="shared" si="20"/>
        <v>0</v>
      </c>
      <c r="U100" s="5"/>
      <c r="V100" s="5">
        <f t="shared" si="18"/>
        <v>0</v>
      </c>
      <c r="W100" s="5">
        <f t="shared" si="14"/>
        <v>0</v>
      </c>
      <c r="X100" s="57"/>
      <c r="Y100" s="6">
        <v>500</v>
      </c>
      <c r="Z100" s="6">
        <v>0</v>
      </c>
      <c r="AA100" s="6">
        <f>R100</f>
        <v>0</v>
      </c>
      <c r="AB100" s="57">
        <v>0</v>
      </c>
      <c r="AC100" s="6">
        <v>0</v>
      </c>
      <c r="AD100" s="57">
        <v>0</v>
      </c>
    </row>
    <row r="101" spans="1:32" x14ac:dyDescent="0.3">
      <c r="A101" s="25">
        <v>8010.04</v>
      </c>
      <c r="B101" s="2" t="s">
        <v>67</v>
      </c>
      <c r="C101" s="14">
        <v>10993.1</v>
      </c>
      <c r="D101" s="14">
        <v>1383.5</v>
      </c>
      <c r="E101" s="14">
        <v>5634.63</v>
      </c>
      <c r="F101" s="14">
        <v>7152.5</v>
      </c>
      <c r="G101" s="5">
        <v>2975.8</v>
      </c>
      <c r="H101" s="5">
        <f t="shared" si="23"/>
        <v>3758.9052631578948</v>
      </c>
      <c r="I101" s="5">
        <v>5000</v>
      </c>
      <c r="J101" s="14">
        <v>4226.8999999999996</v>
      </c>
      <c r="K101" s="3">
        <f>+I101</f>
        <v>5000</v>
      </c>
      <c r="L101" s="5">
        <f t="shared" si="24"/>
        <v>-1241.0947368421052</v>
      </c>
      <c r="M101" s="14">
        <v>1682.35</v>
      </c>
      <c r="N101" s="6">
        <v>5000</v>
      </c>
      <c r="O101" s="6">
        <v>2864.4</v>
      </c>
      <c r="P101" s="6">
        <f>+K101</f>
        <v>5000</v>
      </c>
      <c r="Q101" s="6">
        <v>207.8</v>
      </c>
      <c r="R101" s="6">
        <v>300</v>
      </c>
      <c r="U101" s="5"/>
      <c r="V101" s="5">
        <f t="shared" si="18"/>
        <v>0</v>
      </c>
      <c r="W101" s="5">
        <f t="shared" ref="W101:W118" si="25">V101</f>
        <v>0</v>
      </c>
      <c r="X101" s="57"/>
      <c r="Y101" s="6">
        <v>2000</v>
      </c>
      <c r="Z101" s="6">
        <v>207.8</v>
      </c>
      <c r="AA101" s="6">
        <f>R101</f>
        <v>300</v>
      </c>
      <c r="AB101" s="57">
        <v>0</v>
      </c>
      <c r="AC101" s="6">
        <v>0</v>
      </c>
      <c r="AD101" s="57">
        <v>0</v>
      </c>
    </row>
    <row r="102" spans="1:32" x14ac:dyDescent="0.3">
      <c r="A102" s="25">
        <v>8140.04</v>
      </c>
      <c r="B102" s="2" t="s">
        <v>68</v>
      </c>
      <c r="C102" s="14">
        <v>12325</v>
      </c>
      <c r="D102" s="14">
        <v>12761.93</v>
      </c>
      <c r="E102" s="14">
        <v>15667.44</v>
      </c>
      <c r="F102" s="14">
        <v>17027.39</v>
      </c>
      <c r="G102" s="5">
        <v>14797.88</v>
      </c>
      <c r="H102" s="5">
        <v>16000</v>
      </c>
      <c r="I102" s="5">
        <v>18000</v>
      </c>
      <c r="J102" s="14">
        <v>16538.580000000002</v>
      </c>
      <c r="K102" s="3">
        <f>+I102</f>
        <v>18000</v>
      </c>
      <c r="L102" s="5">
        <f t="shared" si="24"/>
        <v>-2000</v>
      </c>
      <c r="M102" s="14">
        <v>14818.07</v>
      </c>
      <c r="N102" s="6">
        <v>18000</v>
      </c>
      <c r="O102" s="5">
        <v>14818.07</v>
      </c>
      <c r="P102" s="5">
        <f>+K102</f>
        <v>18000</v>
      </c>
      <c r="Q102" s="6">
        <v>16335</v>
      </c>
      <c r="R102" s="6">
        <v>17000</v>
      </c>
      <c r="U102" s="5"/>
      <c r="V102" s="5">
        <f t="shared" si="18"/>
        <v>0</v>
      </c>
      <c r="W102" s="5">
        <f t="shared" si="25"/>
        <v>0</v>
      </c>
      <c r="X102" s="57"/>
      <c r="Y102" s="6">
        <v>15000</v>
      </c>
      <c r="Z102" s="6">
        <v>16335</v>
      </c>
      <c r="AA102" s="6">
        <f>R102</f>
        <v>17000</v>
      </c>
      <c r="AB102" s="57">
        <v>14500</v>
      </c>
      <c r="AC102" s="6">
        <v>18000</v>
      </c>
      <c r="AD102" s="57">
        <v>18000</v>
      </c>
    </row>
    <row r="103" spans="1:32" x14ac:dyDescent="0.3">
      <c r="A103" s="25">
        <v>8160.04</v>
      </c>
      <c r="B103" s="2" t="s">
        <v>69</v>
      </c>
      <c r="C103" s="14">
        <v>340080</v>
      </c>
      <c r="D103" s="14">
        <v>347519.96</v>
      </c>
      <c r="E103" s="14">
        <v>366580.04</v>
      </c>
      <c r="F103" s="14">
        <v>391540.08</v>
      </c>
      <c r="G103" s="5">
        <v>351383.4</v>
      </c>
      <c r="H103" s="5">
        <f>G103/9.5*12</f>
        <v>443852.71578947373</v>
      </c>
      <c r="I103" s="5">
        <v>445960</v>
      </c>
      <c r="J103" s="14">
        <v>421650.08</v>
      </c>
      <c r="K103" s="3">
        <f>+I103</f>
        <v>445960</v>
      </c>
      <c r="L103" s="5">
        <f t="shared" si="24"/>
        <v>-2107.284210526268</v>
      </c>
      <c r="M103" s="14">
        <v>443848.16</v>
      </c>
      <c r="N103" s="6">
        <v>454980</v>
      </c>
      <c r="O103" s="5">
        <v>337169.97</v>
      </c>
      <c r="P103" s="5">
        <f>+K103</f>
        <v>445960</v>
      </c>
      <c r="Q103" s="6">
        <v>309417.59999999998</v>
      </c>
      <c r="R103" s="6">
        <v>470000</v>
      </c>
      <c r="V103" s="6">
        <f t="shared" si="18"/>
        <v>0</v>
      </c>
      <c r="W103" s="6">
        <f t="shared" si="25"/>
        <v>0</v>
      </c>
      <c r="X103" s="57"/>
      <c r="Y103" s="6">
        <v>460000</v>
      </c>
      <c r="Z103" s="6">
        <v>464126.4</v>
      </c>
      <c r="AA103" s="6">
        <v>469980</v>
      </c>
      <c r="AB103" s="57">
        <v>464126</v>
      </c>
      <c r="AC103" s="6">
        <v>483000</v>
      </c>
      <c r="AD103" s="57">
        <v>498480</v>
      </c>
      <c r="AF103" s="2" t="s">
        <v>142</v>
      </c>
    </row>
    <row r="104" spans="1:32" x14ac:dyDescent="0.3">
      <c r="A104" s="25">
        <v>8160.0442000000003</v>
      </c>
      <c r="B104" s="2" t="s">
        <v>70</v>
      </c>
      <c r="C104" s="14">
        <v>288</v>
      </c>
      <c r="D104" s="14">
        <v>0</v>
      </c>
      <c r="E104" s="14">
        <v>0</v>
      </c>
      <c r="F104" s="14">
        <v>0</v>
      </c>
      <c r="G104" s="5">
        <v>153.18</v>
      </c>
      <c r="H104" s="5">
        <f>G104/9.5*12</f>
        <v>193.49052631578945</v>
      </c>
      <c r="I104" s="5">
        <v>1000</v>
      </c>
      <c r="J104" s="14">
        <v>153.18</v>
      </c>
      <c r="K104" s="3">
        <v>500</v>
      </c>
      <c r="L104" s="5">
        <f t="shared" si="24"/>
        <v>-306.50947368421055</v>
      </c>
      <c r="M104" s="14">
        <v>0</v>
      </c>
      <c r="N104" s="6">
        <v>500</v>
      </c>
      <c r="P104" s="5">
        <v>0</v>
      </c>
      <c r="Q104" s="6">
        <v>750</v>
      </c>
      <c r="R104" s="6">
        <v>1000</v>
      </c>
      <c r="U104" s="5"/>
      <c r="V104" s="5">
        <f t="shared" si="18"/>
        <v>0</v>
      </c>
      <c r="W104" s="5">
        <f t="shared" si="25"/>
        <v>0</v>
      </c>
      <c r="X104" s="57"/>
      <c r="Y104" s="6">
        <v>1000</v>
      </c>
      <c r="Z104" s="6">
        <v>750</v>
      </c>
      <c r="AA104" s="6">
        <f>R104</f>
        <v>1000</v>
      </c>
      <c r="AB104" s="57">
        <v>0</v>
      </c>
      <c r="AC104" s="6">
        <v>6000</v>
      </c>
      <c r="AD104" s="57">
        <v>6000</v>
      </c>
    </row>
    <row r="105" spans="1:32" x14ac:dyDescent="0.3">
      <c r="A105" s="25">
        <v>8170.0442000000003</v>
      </c>
      <c r="B105" s="2" t="s">
        <v>102</v>
      </c>
      <c r="C105" s="14">
        <v>0</v>
      </c>
      <c r="D105" s="14">
        <v>0</v>
      </c>
      <c r="E105" s="14">
        <v>0</v>
      </c>
      <c r="F105" s="14">
        <v>0</v>
      </c>
      <c r="H105" s="5">
        <f>G105/9.5*12</f>
        <v>0</v>
      </c>
      <c r="I105" s="5">
        <v>0</v>
      </c>
      <c r="J105" s="14">
        <v>0</v>
      </c>
      <c r="K105" s="3">
        <v>0</v>
      </c>
      <c r="L105" s="5">
        <f>+H105-K105</f>
        <v>0</v>
      </c>
      <c r="M105" s="14">
        <v>0</v>
      </c>
      <c r="N105" s="6">
        <v>0</v>
      </c>
      <c r="Q105" s="6">
        <v>0</v>
      </c>
      <c r="R105" s="6">
        <f>(Q105/8)*12</f>
        <v>0</v>
      </c>
      <c r="U105" s="5"/>
      <c r="V105" s="5">
        <f>SUM(T105:U105)</f>
        <v>0</v>
      </c>
      <c r="W105" s="5">
        <f>V105</f>
        <v>0</v>
      </c>
      <c r="X105" s="57"/>
      <c r="Y105" s="6">
        <f>400*12</f>
        <v>4800</v>
      </c>
      <c r="Z105" s="6">
        <v>0</v>
      </c>
      <c r="AA105" s="6">
        <f>R105</f>
        <v>0</v>
      </c>
      <c r="AB105" s="57">
        <v>0</v>
      </c>
      <c r="AC105" s="6">
        <v>4200</v>
      </c>
      <c r="AD105" s="57">
        <v>4200</v>
      </c>
    </row>
    <row r="106" spans="1:32" x14ac:dyDescent="0.3">
      <c r="A106" s="25">
        <v>8560.0400000000009</v>
      </c>
      <c r="B106" s="2" t="s">
        <v>72</v>
      </c>
      <c r="C106" s="14">
        <v>36345</v>
      </c>
      <c r="D106" s="14">
        <v>26770</v>
      </c>
      <c r="E106" s="14">
        <v>42263.5</v>
      </c>
      <c r="F106" s="14">
        <v>31786</v>
      </c>
      <c r="G106" s="5">
        <v>9925</v>
      </c>
      <c r="H106" s="5">
        <v>20000</v>
      </c>
      <c r="I106" s="5">
        <v>25000</v>
      </c>
      <c r="J106" s="14">
        <v>9925</v>
      </c>
      <c r="K106" s="3">
        <v>20000</v>
      </c>
      <c r="L106" s="5">
        <f>+H106-K106</f>
        <v>0</v>
      </c>
      <c r="M106" s="14">
        <v>8770</v>
      </c>
      <c r="N106" s="6">
        <v>20000</v>
      </c>
      <c r="O106" s="6">
        <v>1250</v>
      </c>
      <c r="P106" s="6">
        <v>3000</v>
      </c>
      <c r="Q106" s="6">
        <v>39129.4</v>
      </c>
      <c r="R106" s="6">
        <v>40000</v>
      </c>
      <c r="U106" s="5"/>
      <c r="V106" s="5">
        <f>SUM(T106:U106)</f>
        <v>0</v>
      </c>
      <c r="W106" s="5">
        <f>V106</f>
        <v>0</v>
      </c>
      <c r="X106" s="57"/>
      <c r="Y106" s="6">
        <v>40000</v>
      </c>
      <c r="Z106" s="6">
        <v>41029.4</v>
      </c>
      <c r="AA106" s="6">
        <v>0</v>
      </c>
      <c r="AB106" s="5">
        <v>9850</v>
      </c>
      <c r="AC106" s="6">
        <v>12000</v>
      </c>
      <c r="AD106" s="57">
        <v>20000</v>
      </c>
    </row>
    <row r="107" spans="1:32" x14ac:dyDescent="0.3">
      <c r="A107" s="25">
        <v>8560.0409999999993</v>
      </c>
      <c r="B107" s="2" t="s">
        <v>86</v>
      </c>
      <c r="C107" s="14">
        <v>0</v>
      </c>
      <c r="D107" s="14">
        <v>0</v>
      </c>
      <c r="E107" s="14">
        <v>0</v>
      </c>
      <c r="F107" s="14">
        <v>10510</v>
      </c>
      <c r="G107" s="5">
        <v>500</v>
      </c>
      <c r="H107" s="5">
        <v>1000</v>
      </c>
      <c r="I107" s="5">
        <v>0</v>
      </c>
      <c r="J107" s="14">
        <v>500</v>
      </c>
      <c r="K107" s="3">
        <v>10000</v>
      </c>
      <c r="L107" s="5">
        <f>+H107-K107</f>
        <v>-9000</v>
      </c>
      <c r="M107" s="14">
        <v>225</v>
      </c>
      <c r="N107" s="6">
        <v>10000</v>
      </c>
      <c r="O107" s="6">
        <v>225</v>
      </c>
      <c r="P107" s="6">
        <v>5000</v>
      </c>
      <c r="Q107" s="6">
        <v>14521.12</v>
      </c>
      <c r="R107" s="6">
        <v>15000</v>
      </c>
      <c r="U107" s="5"/>
      <c r="V107" s="5">
        <f>SUM(T107:U107)</f>
        <v>0</v>
      </c>
      <c r="W107" s="5">
        <f>V107</f>
        <v>0</v>
      </c>
      <c r="X107" s="57"/>
      <c r="Y107" s="6">
        <v>30000</v>
      </c>
      <c r="Z107" s="6">
        <v>14521.12</v>
      </c>
      <c r="AA107" s="6">
        <v>0</v>
      </c>
      <c r="AB107" s="57">
        <v>0</v>
      </c>
      <c r="AC107" s="6">
        <v>20800</v>
      </c>
      <c r="AD107" s="57">
        <v>20800</v>
      </c>
    </row>
    <row r="108" spans="1:32" x14ac:dyDescent="0.3">
      <c r="A108" s="25">
        <v>8710.0440999999992</v>
      </c>
      <c r="B108" s="2" t="s">
        <v>71</v>
      </c>
      <c r="C108" s="14">
        <v>1108.6300000000001</v>
      </c>
      <c r="D108" s="14">
        <v>0</v>
      </c>
      <c r="E108" s="14">
        <v>0</v>
      </c>
      <c r="F108" s="14">
        <v>0</v>
      </c>
      <c r="G108" s="5">
        <v>1600</v>
      </c>
      <c r="H108" s="5">
        <f>+G108</f>
        <v>1600</v>
      </c>
      <c r="I108" s="5">
        <v>3000</v>
      </c>
      <c r="J108" s="14">
        <v>1600</v>
      </c>
      <c r="K108" s="3">
        <v>2000</v>
      </c>
      <c r="L108" s="5">
        <f t="shared" si="24"/>
        <v>-400</v>
      </c>
      <c r="M108" s="14">
        <v>3081</v>
      </c>
      <c r="N108" s="6">
        <v>2000</v>
      </c>
      <c r="O108" s="5">
        <v>1600</v>
      </c>
      <c r="P108" s="5">
        <f>+K108</f>
        <v>2000</v>
      </c>
      <c r="Q108" s="6">
        <v>0</v>
      </c>
      <c r="R108" s="6">
        <f t="shared" si="20"/>
        <v>0</v>
      </c>
      <c r="U108" s="5"/>
      <c r="V108" s="5">
        <f t="shared" si="18"/>
        <v>0</v>
      </c>
      <c r="W108" s="5">
        <f t="shared" si="25"/>
        <v>0</v>
      </c>
      <c r="X108" s="57"/>
      <c r="Y108" s="6">
        <v>2500</v>
      </c>
      <c r="Z108" s="6">
        <v>0</v>
      </c>
      <c r="AA108" s="6">
        <f>R108</f>
        <v>0</v>
      </c>
      <c r="AB108" s="57">
        <v>0</v>
      </c>
      <c r="AC108" s="6">
        <v>3000</v>
      </c>
      <c r="AD108" s="57">
        <v>300</v>
      </c>
    </row>
    <row r="109" spans="1:32" x14ac:dyDescent="0.3">
      <c r="A109" s="25">
        <v>9010.08</v>
      </c>
      <c r="B109" s="2" t="s">
        <v>73</v>
      </c>
      <c r="C109" s="14">
        <v>70395.5</v>
      </c>
      <c r="D109" s="14">
        <v>82474.5</v>
      </c>
      <c r="E109" s="14">
        <v>96837</v>
      </c>
      <c r="F109" s="14">
        <v>54393.17</v>
      </c>
      <c r="G109" s="5">
        <v>31806</v>
      </c>
      <c r="H109" s="5">
        <f t="shared" ref="H109:H115" si="26">G109/9.5*12</f>
        <v>40176</v>
      </c>
      <c r="I109" s="5">
        <v>50000</v>
      </c>
      <c r="J109" s="14">
        <v>27212.33</v>
      </c>
      <c r="K109" s="3">
        <f>+I109</f>
        <v>50000</v>
      </c>
      <c r="L109" s="5">
        <f t="shared" si="24"/>
        <v>-9824</v>
      </c>
      <c r="M109" s="14">
        <v>54182.33</v>
      </c>
      <c r="N109" s="6">
        <v>48000</v>
      </c>
      <c r="O109" s="5">
        <v>46442</v>
      </c>
      <c r="P109" s="5">
        <v>40000</v>
      </c>
      <c r="Q109" s="6">
        <v>45241.14</v>
      </c>
      <c r="R109" s="6">
        <v>50000</v>
      </c>
      <c r="V109" s="6">
        <f t="shared" si="18"/>
        <v>0</v>
      </c>
      <c r="W109" s="6">
        <f t="shared" si="25"/>
        <v>0</v>
      </c>
      <c r="X109" s="57"/>
      <c r="Y109" s="6">
        <v>48000</v>
      </c>
      <c r="Z109" s="6">
        <v>42343.5</v>
      </c>
      <c r="AA109" s="6">
        <f>R109</f>
        <v>50000</v>
      </c>
      <c r="AB109" s="57">
        <v>19247</v>
      </c>
      <c r="AC109" s="6">
        <v>50000</v>
      </c>
      <c r="AD109" s="57">
        <v>50000</v>
      </c>
    </row>
    <row r="110" spans="1:32" x14ac:dyDescent="0.3">
      <c r="A110" s="25">
        <v>9030.08</v>
      </c>
      <c r="B110" s="2" t="s">
        <v>74</v>
      </c>
      <c r="C110" s="14">
        <v>27949.759999999998</v>
      </c>
      <c r="D110" s="14">
        <v>28593.43</v>
      </c>
      <c r="E110" s="14">
        <v>28522.57</v>
      </c>
      <c r="F110" s="14">
        <v>26355.82</v>
      </c>
      <c r="G110" s="5">
        <v>19624.419999999998</v>
      </c>
      <c r="H110" s="5">
        <f t="shared" si="26"/>
        <v>24788.741052631576</v>
      </c>
      <c r="I110" s="5">
        <v>27000</v>
      </c>
      <c r="J110" s="14">
        <v>25268.720000000001</v>
      </c>
      <c r="K110" s="3">
        <v>26000</v>
      </c>
      <c r="L110" s="5">
        <f t="shared" si="24"/>
        <v>-1211.2589473684238</v>
      </c>
      <c r="M110" s="14">
        <v>24591.73</v>
      </c>
      <c r="N110" s="6">
        <v>25000</v>
      </c>
      <c r="O110" s="5">
        <v>18012.95</v>
      </c>
      <c r="P110" s="5">
        <f>+K110</f>
        <v>26000</v>
      </c>
      <c r="Q110" s="6">
        <v>15082.29</v>
      </c>
      <c r="R110" s="6">
        <v>23000</v>
      </c>
      <c r="U110" s="5"/>
      <c r="V110" s="5">
        <f t="shared" si="18"/>
        <v>0</v>
      </c>
      <c r="W110" s="5">
        <f t="shared" si="25"/>
        <v>0</v>
      </c>
      <c r="X110" s="57"/>
      <c r="Y110" s="6">
        <v>25000</v>
      </c>
      <c r="Z110" s="6">
        <v>22704.49</v>
      </c>
      <c r="AA110" s="6">
        <f>R110</f>
        <v>23000</v>
      </c>
      <c r="AB110" s="57">
        <v>22915</v>
      </c>
      <c r="AC110" s="6">
        <v>26000</v>
      </c>
      <c r="AD110" s="57">
        <v>26500</v>
      </c>
      <c r="AE110" s="73"/>
      <c r="AF110" s="2" t="s">
        <v>221</v>
      </c>
    </row>
    <row r="111" spans="1:32" x14ac:dyDescent="0.3">
      <c r="A111" s="25">
        <v>9040.08</v>
      </c>
      <c r="B111" s="2" t="s">
        <v>75</v>
      </c>
      <c r="C111" s="14">
        <v>10490.73</v>
      </c>
      <c r="D111" s="14">
        <v>17782.89</v>
      </c>
      <c r="E111" s="14">
        <v>11458.84</v>
      </c>
      <c r="F111" s="14">
        <v>21526.15</v>
      </c>
      <c r="G111" s="5">
        <v>18072.5</v>
      </c>
      <c r="H111" s="5">
        <f t="shared" si="26"/>
        <v>22828.42105263158</v>
      </c>
      <c r="I111" s="5">
        <v>30000</v>
      </c>
      <c r="J111" s="14">
        <v>14107.28</v>
      </c>
      <c r="K111" s="3">
        <v>30000</v>
      </c>
      <c r="L111" s="5">
        <f t="shared" si="24"/>
        <v>-7171.5789473684199</v>
      </c>
      <c r="M111" s="14">
        <v>15781.11</v>
      </c>
      <c r="N111" s="6">
        <v>20000</v>
      </c>
      <c r="O111" s="5">
        <v>14846.23</v>
      </c>
      <c r="P111" s="5">
        <v>20000</v>
      </c>
      <c r="Q111" s="6">
        <v>16572.7</v>
      </c>
      <c r="R111" s="6">
        <v>17000</v>
      </c>
      <c r="U111" s="5"/>
      <c r="V111" s="5">
        <f t="shared" si="18"/>
        <v>0</v>
      </c>
      <c r="W111" s="5">
        <f t="shared" si="25"/>
        <v>0</v>
      </c>
      <c r="X111" s="57"/>
      <c r="Y111" s="6">
        <v>20000</v>
      </c>
      <c r="Z111" s="6">
        <v>14726.08</v>
      </c>
      <c r="AA111" s="6">
        <f>R111</f>
        <v>17000</v>
      </c>
      <c r="AB111" s="57">
        <v>15065</v>
      </c>
      <c r="AC111" s="6">
        <v>30000</v>
      </c>
      <c r="AD111" s="57">
        <v>30000</v>
      </c>
    </row>
    <row r="112" spans="1:32" x14ac:dyDescent="0.3">
      <c r="A112" s="25">
        <v>9050.08</v>
      </c>
      <c r="B112" s="2" t="s">
        <v>76</v>
      </c>
      <c r="C112" s="14">
        <v>1033.83</v>
      </c>
      <c r="D112" s="14">
        <v>979.87</v>
      </c>
      <c r="E112" s="14">
        <v>1738.6</v>
      </c>
      <c r="F112" s="14">
        <v>1674.63</v>
      </c>
      <c r="G112" s="5">
        <v>813.78</v>
      </c>
      <c r="H112" s="5">
        <f t="shared" si="26"/>
        <v>1027.9326315789472</v>
      </c>
      <c r="I112" s="5">
        <v>1800</v>
      </c>
      <c r="J112" s="14">
        <v>1251.98</v>
      </c>
      <c r="K112" s="3">
        <f>+I112</f>
        <v>1800</v>
      </c>
      <c r="L112" s="5">
        <f t="shared" si="24"/>
        <v>-772.06736842105283</v>
      </c>
      <c r="M112" s="14">
        <v>976.54</v>
      </c>
      <c r="N112" s="6">
        <v>1300</v>
      </c>
      <c r="O112" s="5">
        <v>156.63999999999999</v>
      </c>
      <c r="P112" s="5">
        <v>1300</v>
      </c>
      <c r="Q112" s="6">
        <v>146.15</v>
      </c>
      <c r="R112" s="6">
        <f t="shared" si="20"/>
        <v>219.22500000000002</v>
      </c>
      <c r="U112" s="5"/>
      <c r="V112" s="5">
        <f t="shared" si="18"/>
        <v>0</v>
      </c>
      <c r="W112" s="5">
        <f t="shared" si="25"/>
        <v>0</v>
      </c>
      <c r="X112" s="57"/>
      <c r="Y112" s="6">
        <v>1300</v>
      </c>
      <c r="Z112" s="6">
        <v>348.32</v>
      </c>
      <c r="AA112" s="6">
        <v>0</v>
      </c>
      <c r="AB112" s="57">
        <v>543</v>
      </c>
      <c r="AC112" s="6">
        <v>1800</v>
      </c>
      <c r="AD112" s="57">
        <v>1800</v>
      </c>
    </row>
    <row r="113" spans="1:32" x14ac:dyDescent="0.3">
      <c r="A113" s="25">
        <v>9055.08</v>
      </c>
      <c r="B113" s="2" t="s">
        <v>77</v>
      </c>
      <c r="C113" s="14">
        <v>-28.68</v>
      </c>
      <c r="D113" s="14">
        <v>-37.08</v>
      </c>
      <c r="E113" s="14">
        <v>-32.28</v>
      </c>
      <c r="F113" s="14">
        <v>-52.32</v>
      </c>
      <c r="G113" s="5">
        <v>-12.72</v>
      </c>
      <c r="H113" s="5">
        <f t="shared" si="26"/>
        <v>-16.067368421052631</v>
      </c>
      <c r="I113" s="5">
        <v>500</v>
      </c>
      <c r="J113" s="14">
        <v>-63.12</v>
      </c>
      <c r="K113" s="3">
        <v>0</v>
      </c>
      <c r="L113" s="5">
        <f t="shared" si="24"/>
        <v>-16.067368421052631</v>
      </c>
      <c r="M113" s="14">
        <v>-49.2</v>
      </c>
      <c r="N113" s="6">
        <v>0</v>
      </c>
      <c r="O113" s="5">
        <v>9.6</v>
      </c>
      <c r="P113" s="5">
        <v>0</v>
      </c>
      <c r="Q113" s="6">
        <v>-146.15</v>
      </c>
      <c r="R113" s="6">
        <f t="shared" si="20"/>
        <v>-219.22500000000002</v>
      </c>
      <c r="U113" s="5"/>
      <c r="V113" s="5">
        <f t="shared" si="18"/>
        <v>0</v>
      </c>
      <c r="W113" s="5">
        <f t="shared" si="25"/>
        <v>0</v>
      </c>
      <c r="X113" s="57"/>
      <c r="Y113" s="6">
        <v>0</v>
      </c>
      <c r="Z113" s="6">
        <v>0</v>
      </c>
      <c r="AA113" s="6">
        <v>0</v>
      </c>
      <c r="AB113" s="57">
        <v>216</v>
      </c>
      <c r="AC113" s="6">
        <v>0</v>
      </c>
      <c r="AD113" s="57">
        <v>0</v>
      </c>
    </row>
    <row r="114" spans="1:32" x14ac:dyDescent="0.3">
      <c r="A114" s="25">
        <v>9060.08</v>
      </c>
      <c r="B114" s="2" t="s">
        <v>78</v>
      </c>
      <c r="C114" s="14">
        <v>91428.7</v>
      </c>
      <c r="D114" s="14">
        <v>91566.26</v>
      </c>
      <c r="E114" s="14">
        <v>92465.75</v>
      </c>
      <c r="F114" s="14">
        <v>87112.99</v>
      </c>
      <c r="G114" s="5">
        <v>62930.94</v>
      </c>
      <c r="H114" s="5">
        <f t="shared" si="26"/>
        <v>79491.713684210525</v>
      </c>
      <c r="I114" s="5">
        <v>80000</v>
      </c>
      <c r="J114" s="14">
        <f>74087.48-5301</f>
        <v>68786.48</v>
      </c>
      <c r="K114" s="3">
        <f>+I114</f>
        <v>80000</v>
      </c>
      <c r="L114" s="5">
        <f t="shared" si="24"/>
        <v>-508.28631578947534</v>
      </c>
      <c r="M114" s="14">
        <v>68370.100000000006</v>
      </c>
      <c r="N114" s="6">
        <v>70000</v>
      </c>
      <c r="O114" s="6">
        <v>44429.33</v>
      </c>
      <c r="P114" s="6">
        <f>+J114</f>
        <v>68786.48</v>
      </c>
      <c r="Q114" s="6">
        <v>105320.57</v>
      </c>
      <c r="R114" s="6">
        <v>157000</v>
      </c>
      <c r="V114" s="6">
        <f t="shared" si="18"/>
        <v>0</v>
      </c>
      <c r="W114" s="6">
        <f t="shared" si="25"/>
        <v>0</v>
      </c>
      <c r="X114" s="57"/>
      <c r="Y114" s="6">
        <v>70000</v>
      </c>
      <c r="Z114" s="6">
        <v>141095.45000000001</v>
      </c>
      <c r="AA114" s="6">
        <v>160000</v>
      </c>
      <c r="AB114" s="57">
        <v>123878</v>
      </c>
      <c r="AC114" s="6">
        <v>160000</v>
      </c>
      <c r="AD114" s="57">
        <v>160000</v>
      </c>
    </row>
    <row r="115" spans="1:32" x14ac:dyDescent="0.3">
      <c r="A115" s="25">
        <v>9065.08</v>
      </c>
      <c r="B115" s="2" t="s">
        <v>79</v>
      </c>
      <c r="C115" s="14">
        <v>1023.32</v>
      </c>
      <c r="D115" s="14">
        <v>0</v>
      </c>
      <c r="E115" s="14">
        <v>0</v>
      </c>
      <c r="F115" s="14">
        <v>0</v>
      </c>
      <c r="H115" s="5">
        <f t="shared" si="26"/>
        <v>0</v>
      </c>
      <c r="I115" s="5">
        <v>0</v>
      </c>
      <c r="J115" s="14">
        <v>0</v>
      </c>
      <c r="K115" s="3">
        <v>0</v>
      </c>
      <c r="L115" s="5">
        <f t="shared" si="24"/>
        <v>0</v>
      </c>
      <c r="M115" s="14">
        <v>0</v>
      </c>
      <c r="N115" s="6">
        <v>0</v>
      </c>
      <c r="Q115" s="6">
        <v>0</v>
      </c>
      <c r="R115" s="6">
        <f t="shared" si="20"/>
        <v>0</v>
      </c>
      <c r="V115" s="6">
        <f t="shared" si="18"/>
        <v>0</v>
      </c>
      <c r="W115" s="6">
        <f t="shared" si="25"/>
        <v>0</v>
      </c>
      <c r="X115" s="57"/>
      <c r="Y115" s="6">
        <v>0</v>
      </c>
      <c r="Z115" s="6"/>
      <c r="AA115" s="6">
        <f>R115</f>
        <v>0</v>
      </c>
      <c r="AB115" s="57">
        <v>4</v>
      </c>
      <c r="AC115" s="6">
        <v>0</v>
      </c>
      <c r="AD115" s="57">
        <v>0</v>
      </c>
    </row>
    <row r="116" spans="1:32" x14ac:dyDescent="0.3">
      <c r="A116" s="25">
        <v>9710.06</v>
      </c>
      <c r="B116" s="2" t="s">
        <v>80</v>
      </c>
      <c r="C116" s="14">
        <v>200000</v>
      </c>
      <c r="D116" s="14">
        <v>210000</v>
      </c>
      <c r="E116" s="14">
        <v>220000</v>
      </c>
      <c r="F116" s="14">
        <v>230000</v>
      </c>
      <c r="H116" s="5">
        <v>245000</v>
      </c>
      <c r="I116" s="5">
        <v>255000</v>
      </c>
      <c r="J116" s="14">
        <v>245000</v>
      </c>
      <c r="K116" s="3">
        <f>+I116</f>
        <v>255000</v>
      </c>
      <c r="L116" s="5">
        <f t="shared" si="24"/>
        <v>-10000</v>
      </c>
      <c r="M116" s="14">
        <v>201750</v>
      </c>
      <c r="N116" s="6">
        <v>200000</v>
      </c>
      <c r="O116" s="5">
        <v>1750</v>
      </c>
      <c r="P116" s="5">
        <f>+K116</f>
        <v>255000</v>
      </c>
      <c r="Q116" s="6">
        <v>0</v>
      </c>
      <c r="R116" s="6">
        <v>205000</v>
      </c>
      <c r="V116" s="6">
        <f t="shared" si="18"/>
        <v>0</v>
      </c>
      <c r="W116" s="6">
        <f t="shared" si="25"/>
        <v>0</v>
      </c>
      <c r="X116" s="57"/>
      <c r="Y116" s="6">
        <v>205000</v>
      </c>
      <c r="Z116" s="6">
        <v>205000</v>
      </c>
      <c r="AA116" s="6">
        <v>215000</v>
      </c>
      <c r="AB116" s="57">
        <v>215000</v>
      </c>
      <c r="AC116" s="6">
        <v>215000</v>
      </c>
      <c r="AD116" s="57">
        <v>0</v>
      </c>
      <c r="AF116" s="2" t="s">
        <v>143</v>
      </c>
    </row>
    <row r="117" spans="1:32" x14ac:dyDescent="0.3">
      <c r="A117" s="25">
        <v>9710.07</v>
      </c>
      <c r="B117" s="2" t="s">
        <v>81</v>
      </c>
      <c r="C117" s="32">
        <v>89790</v>
      </c>
      <c r="D117" s="32">
        <v>81590</v>
      </c>
      <c r="E117" s="32">
        <v>72980</v>
      </c>
      <c r="F117" s="32">
        <v>63960</v>
      </c>
      <c r="G117" s="33">
        <v>27265</v>
      </c>
      <c r="H117" s="33">
        <v>54530</v>
      </c>
      <c r="I117" s="33">
        <v>44485</v>
      </c>
      <c r="J117" s="32">
        <v>54530</v>
      </c>
      <c r="K117" s="47">
        <f>+I117</f>
        <v>44485</v>
      </c>
      <c r="L117" s="33">
        <f t="shared" si="24"/>
        <v>10045</v>
      </c>
      <c r="M117" s="32">
        <v>36790.42</v>
      </c>
      <c r="N117" s="34">
        <v>33950</v>
      </c>
      <c r="O117" s="33">
        <v>17815.419999999998</v>
      </c>
      <c r="P117" s="33">
        <f>+K117</f>
        <v>44485</v>
      </c>
      <c r="Q117" s="34">
        <v>13975</v>
      </c>
      <c r="R117" s="6">
        <v>27950</v>
      </c>
      <c r="U117" s="34"/>
      <c r="V117" s="34">
        <f t="shared" si="18"/>
        <v>0</v>
      </c>
      <c r="W117" s="6">
        <f t="shared" si="25"/>
        <v>0</v>
      </c>
      <c r="X117" s="57"/>
      <c r="Y117" s="34">
        <f>13975+13975</f>
        <v>27950</v>
      </c>
      <c r="Z117" s="34">
        <v>27950</v>
      </c>
      <c r="AA117" s="6">
        <f>9875+9875</f>
        <v>19750</v>
      </c>
      <c r="AB117" s="57">
        <v>19750</v>
      </c>
      <c r="AC117" s="34">
        <v>19750</v>
      </c>
      <c r="AD117" s="57">
        <v>0</v>
      </c>
    </row>
    <row r="118" spans="1:32" x14ac:dyDescent="0.3">
      <c r="A118" s="25">
        <v>1990.04</v>
      </c>
      <c r="B118" s="2" t="s">
        <v>51</v>
      </c>
      <c r="C118" s="29">
        <v>0</v>
      </c>
      <c r="D118" s="29">
        <v>0</v>
      </c>
      <c r="E118" s="29">
        <v>0</v>
      </c>
      <c r="F118" s="29">
        <v>0</v>
      </c>
      <c r="G118" s="29">
        <v>0</v>
      </c>
      <c r="H118" s="29">
        <v>0</v>
      </c>
      <c r="I118" s="29">
        <v>0</v>
      </c>
      <c r="J118" s="29">
        <v>0</v>
      </c>
      <c r="K118" s="29">
        <v>0</v>
      </c>
      <c r="L118" s="30"/>
      <c r="M118" s="29">
        <v>0</v>
      </c>
      <c r="N118" s="31">
        <v>0</v>
      </c>
      <c r="O118" s="31"/>
      <c r="P118" s="31"/>
      <c r="Q118" s="31">
        <v>0</v>
      </c>
      <c r="R118" s="31">
        <v>0</v>
      </c>
      <c r="U118" s="30"/>
      <c r="V118" s="30">
        <v>0</v>
      </c>
      <c r="W118" s="30">
        <f t="shared" si="25"/>
        <v>0</v>
      </c>
      <c r="X118" s="59"/>
      <c r="Y118" s="31">
        <v>0</v>
      </c>
      <c r="Z118" s="31">
        <v>0</v>
      </c>
      <c r="AA118" s="31">
        <v>0</v>
      </c>
      <c r="AB118" s="59">
        <v>0</v>
      </c>
      <c r="AC118" s="31">
        <v>90</v>
      </c>
      <c r="AD118" s="59"/>
    </row>
    <row r="119" spans="1:32" x14ac:dyDescent="0.3">
      <c r="A119" s="25"/>
      <c r="C119" s="32"/>
      <c r="D119" s="32"/>
      <c r="E119" s="32"/>
      <c r="F119" s="32"/>
      <c r="G119" s="32"/>
      <c r="H119" s="32"/>
      <c r="I119" s="32"/>
      <c r="J119" s="32"/>
      <c r="K119" s="32"/>
      <c r="L119" s="33"/>
      <c r="M119" s="32"/>
      <c r="N119" s="34"/>
      <c r="O119" s="33"/>
      <c r="P119" s="33"/>
      <c r="Q119" s="34"/>
      <c r="R119" s="34"/>
      <c r="U119" s="34"/>
      <c r="V119" s="34"/>
      <c r="W119" s="34"/>
      <c r="X119" s="60"/>
      <c r="Y119" s="34"/>
      <c r="Z119" s="34"/>
      <c r="AA119" s="34"/>
      <c r="AB119" s="60"/>
      <c r="AC119" s="34"/>
      <c r="AD119" s="60"/>
    </row>
    <row r="120" spans="1:32" ht="17.25" thickBot="1" x14ac:dyDescent="0.35">
      <c r="B120" s="2" t="s">
        <v>83</v>
      </c>
      <c r="C120" s="35">
        <f t="shared" ref="C120:W120" si="27">SUM(C45:C118)</f>
        <v>1594760.77</v>
      </c>
      <c r="D120" s="35">
        <f t="shared" si="27"/>
        <v>1611682.66</v>
      </c>
      <c r="E120" s="35">
        <f t="shared" si="27"/>
        <v>1714128.55</v>
      </c>
      <c r="F120" s="35">
        <f t="shared" si="27"/>
        <v>1736137.2299999997</v>
      </c>
      <c r="G120" s="35">
        <f t="shared" si="27"/>
        <v>1135025.5600000003</v>
      </c>
      <c r="H120" s="35">
        <f t="shared" si="27"/>
        <v>1710961.3121052631</v>
      </c>
      <c r="I120" s="35">
        <f t="shared" si="27"/>
        <v>1712700</v>
      </c>
      <c r="J120" s="35">
        <f t="shared" si="27"/>
        <v>1671570.65</v>
      </c>
      <c r="K120" s="35">
        <f t="shared" si="27"/>
        <v>1691064</v>
      </c>
      <c r="L120" s="35">
        <f t="shared" si="27"/>
        <v>19897.312105263172</v>
      </c>
      <c r="M120" s="35">
        <f t="shared" si="27"/>
        <v>1627357.4899999998</v>
      </c>
      <c r="N120" s="35">
        <f t="shared" si="27"/>
        <v>1986789</v>
      </c>
      <c r="O120" s="35">
        <f t="shared" si="27"/>
        <v>947738.49999999988</v>
      </c>
      <c r="P120" s="35">
        <f t="shared" si="27"/>
        <v>1731576.37</v>
      </c>
      <c r="Q120" s="35">
        <f t="shared" si="27"/>
        <v>1501675.4199999997</v>
      </c>
      <c r="R120" s="35">
        <f t="shared" si="27"/>
        <v>2094350</v>
      </c>
      <c r="S120" s="35">
        <f t="shared" si="27"/>
        <v>0</v>
      </c>
      <c r="T120" s="35">
        <f t="shared" si="27"/>
        <v>0</v>
      </c>
      <c r="U120" s="35">
        <f t="shared" si="27"/>
        <v>0</v>
      </c>
      <c r="V120" s="35">
        <f t="shared" si="27"/>
        <v>0</v>
      </c>
      <c r="W120" s="35">
        <f t="shared" si="27"/>
        <v>0</v>
      </c>
      <c r="X120" s="61"/>
      <c r="Y120" s="35">
        <f t="shared" ref="Y120:AD120" si="28">SUM(Y45:Y118)</f>
        <v>1919326</v>
      </c>
      <c r="Z120" s="35">
        <f t="shared" si="28"/>
        <v>2186393.7999999998</v>
      </c>
      <c r="AA120" s="35">
        <f t="shared" si="28"/>
        <v>1920130</v>
      </c>
      <c r="AB120" s="61">
        <f t="shared" si="28"/>
        <v>1936842</v>
      </c>
      <c r="AC120" s="35">
        <f t="shared" si="28"/>
        <v>1862030</v>
      </c>
      <c r="AD120" s="61">
        <f t="shared" si="28"/>
        <v>1865354</v>
      </c>
    </row>
    <row r="121" spans="1:32" ht="17.25" thickTop="1" x14ac:dyDescent="0.3"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S121" s="6"/>
      <c r="X121" s="57"/>
      <c r="Y121" s="6"/>
      <c r="Z121" s="6"/>
      <c r="AA121" s="6"/>
      <c r="AB121" s="57"/>
      <c r="AC121" s="6"/>
      <c r="AD121" s="57">
        <f>AD42-AD120</f>
        <v>0</v>
      </c>
    </row>
    <row r="122" spans="1:32" s="14" customFormat="1" x14ac:dyDescent="0.3">
      <c r="A122" s="15"/>
      <c r="B122" s="14" t="s">
        <v>134</v>
      </c>
      <c r="C122" s="14">
        <f t="shared" ref="C122:W122" si="29">+C42-C120</f>
        <v>3820.7699999997858</v>
      </c>
      <c r="D122" s="14">
        <f t="shared" si="29"/>
        <v>87839.270000000019</v>
      </c>
      <c r="E122" s="14">
        <f t="shared" si="29"/>
        <v>34038.119999999646</v>
      </c>
      <c r="F122" s="14">
        <f t="shared" si="29"/>
        <v>99294.960000000196</v>
      </c>
      <c r="G122" s="14">
        <f t="shared" si="29"/>
        <v>536862.62999999942</v>
      </c>
      <c r="H122" s="14">
        <f t="shared" si="29"/>
        <v>129504.79210526287</v>
      </c>
      <c r="I122" s="14">
        <f t="shared" si="29"/>
        <v>5535</v>
      </c>
      <c r="J122" s="14">
        <f t="shared" si="29"/>
        <v>247608.28000000003</v>
      </c>
      <c r="K122" s="14">
        <f t="shared" si="29"/>
        <v>57775.038199999835</v>
      </c>
      <c r="L122" s="14">
        <f t="shared" si="29"/>
        <v>-111524.37811578932</v>
      </c>
      <c r="M122" s="14">
        <f t="shared" si="29"/>
        <v>283897.27</v>
      </c>
      <c r="N122" s="14">
        <f t="shared" si="29"/>
        <v>-158291</v>
      </c>
      <c r="O122" s="14">
        <f t="shared" si="29"/>
        <v>718084.40000000026</v>
      </c>
      <c r="P122" s="14">
        <f t="shared" si="29"/>
        <v>188807.89999999991</v>
      </c>
      <c r="Q122" s="14">
        <f t="shared" si="29"/>
        <v>118000.92000000039</v>
      </c>
      <c r="R122" s="14">
        <f t="shared" si="29"/>
        <v>-270575</v>
      </c>
      <c r="S122" s="14">
        <f t="shared" si="29"/>
        <v>0</v>
      </c>
      <c r="T122" s="14">
        <f t="shared" si="29"/>
        <v>0</v>
      </c>
      <c r="U122" s="14">
        <f t="shared" si="29"/>
        <v>0</v>
      </c>
      <c r="V122" s="14">
        <f t="shared" si="29"/>
        <v>0</v>
      </c>
      <c r="W122" s="14">
        <f t="shared" si="29"/>
        <v>0</v>
      </c>
      <c r="X122" s="57"/>
      <c r="Y122" s="14">
        <f>+Y42-Y120</f>
        <v>54929</v>
      </c>
      <c r="Z122" s="14">
        <f>+Z42-Z120</f>
        <v>-248370.25</v>
      </c>
      <c r="AA122" s="14">
        <f>+AA42-AA120</f>
        <v>-44355</v>
      </c>
      <c r="AB122" s="57"/>
      <c r="AC122" s="14">
        <f>+AC42-AC120</f>
        <v>0</v>
      </c>
      <c r="AD122" s="57"/>
    </row>
    <row r="123" spans="1:32" x14ac:dyDescent="0.3">
      <c r="X123" s="57"/>
      <c r="AB123" s="63"/>
      <c r="AD123" s="63"/>
    </row>
  </sheetData>
  <mergeCells count="3">
    <mergeCell ref="B1:R1"/>
    <mergeCell ref="T1:AC1"/>
    <mergeCell ref="AD1:AM1"/>
  </mergeCells>
  <printOptions horizontalCentered="1"/>
  <pageMargins left="0.7" right="0.7" top="0.75" bottom="0.75" header="0.3" footer="0.3"/>
  <pageSetup scale="77" fitToHeight="4" orientation="portrait" r:id="rId1"/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C63"/>
  <sheetViews>
    <sheetView workbookViewId="0">
      <selection activeCell="A4" sqref="A4"/>
    </sheetView>
  </sheetViews>
  <sheetFormatPr defaultRowHeight="15" x14ac:dyDescent="0.25"/>
  <cols>
    <col min="1" max="1" width="13.28515625" style="72" bestFit="1" customWidth="1"/>
    <col min="2" max="2" width="42.140625" bestFit="1" customWidth="1"/>
    <col min="3" max="3" width="11.5703125" bestFit="1" customWidth="1"/>
  </cols>
  <sheetData>
    <row r="3" spans="1:3" x14ac:dyDescent="0.25">
      <c r="A3" s="72" t="s">
        <v>218</v>
      </c>
      <c r="B3" t="s">
        <v>219</v>
      </c>
      <c r="C3" t="s">
        <v>220</v>
      </c>
    </row>
    <row r="4" spans="1:3" x14ac:dyDescent="0.25">
      <c r="A4" s="71" t="s">
        <v>158</v>
      </c>
      <c r="B4" s="68" t="s">
        <v>22</v>
      </c>
      <c r="C4" s="69">
        <v>8612.16</v>
      </c>
    </row>
    <row r="5" spans="1:3" x14ac:dyDescent="0.25">
      <c r="A5" s="71" t="s">
        <v>159</v>
      </c>
      <c r="B5" s="68" t="s">
        <v>148</v>
      </c>
      <c r="C5" s="69">
        <v>6125</v>
      </c>
    </row>
    <row r="6" spans="1:3" x14ac:dyDescent="0.25">
      <c r="A6" s="71" t="s">
        <v>160</v>
      </c>
      <c r="B6" s="68" t="s">
        <v>23</v>
      </c>
      <c r="C6" s="69">
        <v>76.75</v>
      </c>
    </row>
    <row r="7" spans="1:3" x14ac:dyDescent="0.25">
      <c r="A7" s="71" t="s">
        <v>161</v>
      </c>
      <c r="B7" s="68" t="s">
        <v>24</v>
      </c>
      <c r="C7" s="69">
        <v>418.32</v>
      </c>
    </row>
    <row r="8" spans="1:3" x14ac:dyDescent="0.25">
      <c r="A8" s="71" t="s">
        <v>162</v>
      </c>
      <c r="B8" s="68" t="s">
        <v>99</v>
      </c>
      <c r="C8" s="69">
        <v>3112.5</v>
      </c>
    </row>
    <row r="9" spans="1:3" x14ac:dyDescent="0.25">
      <c r="A9" s="71" t="s">
        <v>163</v>
      </c>
      <c r="B9" s="68" t="s">
        <v>25</v>
      </c>
      <c r="C9" s="69">
        <v>200</v>
      </c>
    </row>
    <row r="10" spans="1:3" x14ac:dyDescent="0.25">
      <c r="A10" s="71" t="s">
        <v>164</v>
      </c>
      <c r="B10" s="68" t="s">
        <v>149</v>
      </c>
      <c r="C10" s="69">
        <v>530</v>
      </c>
    </row>
    <row r="11" spans="1:3" x14ac:dyDescent="0.25">
      <c r="A11" s="71" t="s">
        <v>165</v>
      </c>
      <c r="B11" s="68" t="s">
        <v>28</v>
      </c>
      <c r="C11" s="69">
        <v>15950</v>
      </c>
    </row>
    <row r="12" spans="1:3" x14ac:dyDescent="0.25">
      <c r="A12" s="71" t="s">
        <v>166</v>
      </c>
      <c r="B12" s="68" t="s">
        <v>29</v>
      </c>
      <c r="C12" s="69">
        <v>72550.41</v>
      </c>
    </row>
    <row r="13" spans="1:3" x14ac:dyDescent="0.25">
      <c r="A13" s="71" t="s">
        <v>167</v>
      </c>
      <c r="B13" s="68" t="s">
        <v>30</v>
      </c>
      <c r="C13" s="69">
        <v>60542.06</v>
      </c>
    </row>
    <row r="14" spans="1:3" x14ac:dyDescent="0.25">
      <c r="A14" s="71" t="s">
        <v>168</v>
      </c>
      <c r="B14" s="68" t="s">
        <v>31</v>
      </c>
      <c r="C14" s="69">
        <v>10325.69</v>
      </c>
    </row>
    <row r="15" spans="1:3" x14ac:dyDescent="0.25">
      <c r="A15" s="71" t="s">
        <v>169</v>
      </c>
      <c r="B15" s="68" t="s">
        <v>32</v>
      </c>
      <c r="C15" s="69">
        <v>836.7</v>
      </c>
    </row>
    <row r="16" spans="1:3" x14ac:dyDescent="0.25">
      <c r="A16" s="71" t="s">
        <v>170</v>
      </c>
      <c r="B16" s="68" t="s">
        <v>33</v>
      </c>
      <c r="C16" s="69">
        <v>1030.55</v>
      </c>
    </row>
    <row r="17" spans="1:3" x14ac:dyDescent="0.25">
      <c r="A17" s="71" t="s">
        <v>171</v>
      </c>
      <c r="B17" s="68" t="s">
        <v>34</v>
      </c>
      <c r="C17" s="69">
        <v>8153.29</v>
      </c>
    </row>
    <row r="18" spans="1:3" x14ac:dyDescent="0.25">
      <c r="A18" s="71" t="s">
        <v>172</v>
      </c>
      <c r="B18" s="68" t="s">
        <v>108</v>
      </c>
      <c r="C18" s="69">
        <v>9137.5</v>
      </c>
    </row>
    <row r="19" spans="1:3" x14ac:dyDescent="0.25">
      <c r="A19" s="71" t="s">
        <v>173</v>
      </c>
      <c r="B19" s="68" t="s">
        <v>35</v>
      </c>
      <c r="C19" s="69">
        <v>1400.38</v>
      </c>
    </row>
    <row r="20" spans="1:3" x14ac:dyDescent="0.25">
      <c r="A20" s="71" t="s">
        <v>174</v>
      </c>
      <c r="B20" s="68" t="s">
        <v>36</v>
      </c>
      <c r="C20" s="69">
        <v>202.46</v>
      </c>
    </row>
    <row r="21" spans="1:3" x14ac:dyDescent="0.25">
      <c r="A21" s="71" t="s">
        <v>175</v>
      </c>
      <c r="B21" s="68" t="s">
        <v>37</v>
      </c>
      <c r="C21" s="69">
        <v>50657.25</v>
      </c>
    </row>
    <row r="22" spans="1:3" x14ac:dyDescent="0.25">
      <c r="A22" s="71" t="s">
        <v>176</v>
      </c>
      <c r="B22" s="68" t="s">
        <v>39</v>
      </c>
      <c r="C22" s="69">
        <v>24220</v>
      </c>
    </row>
    <row r="23" spans="1:3" x14ac:dyDescent="0.25">
      <c r="A23" s="71" t="s">
        <v>177</v>
      </c>
      <c r="B23" s="68" t="s">
        <v>150</v>
      </c>
      <c r="C23" s="69">
        <v>9000</v>
      </c>
    </row>
    <row r="24" spans="1:3" x14ac:dyDescent="0.25">
      <c r="A24" s="71" t="s">
        <v>178</v>
      </c>
      <c r="B24" s="68" t="s">
        <v>41</v>
      </c>
      <c r="C24" s="69">
        <v>996.75</v>
      </c>
    </row>
    <row r="25" spans="1:3" x14ac:dyDescent="0.25">
      <c r="A25" s="71" t="s">
        <v>179</v>
      </c>
      <c r="B25" s="68" t="s">
        <v>42</v>
      </c>
      <c r="C25" s="69">
        <v>0</v>
      </c>
    </row>
    <row r="26" spans="1:3" x14ac:dyDescent="0.25">
      <c r="A26" s="71" t="s">
        <v>180</v>
      </c>
      <c r="B26" s="68" t="s">
        <v>45</v>
      </c>
      <c r="C26" s="69">
        <v>169</v>
      </c>
    </row>
    <row r="27" spans="1:3" x14ac:dyDescent="0.25">
      <c r="A27" s="71" t="s">
        <v>181</v>
      </c>
      <c r="B27" s="68" t="s">
        <v>46</v>
      </c>
      <c r="C27" s="69">
        <v>7243.89</v>
      </c>
    </row>
    <row r="28" spans="1:3" x14ac:dyDescent="0.25">
      <c r="A28" s="71" t="s">
        <v>182</v>
      </c>
      <c r="B28" s="68" t="s">
        <v>151</v>
      </c>
      <c r="C28" s="69">
        <v>4303.84</v>
      </c>
    </row>
    <row r="29" spans="1:3" x14ac:dyDescent="0.25">
      <c r="A29" s="71" t="s">
        <v>183</v>
      </c>
      <c r="B29" s="68" t="s">
        <v>152</v>
      </c>
      <c r="C29" s="69">
        <v>8741.18</v>
      </c>
    </row>
    <row r="30" spans="1:3" x14ac:dyDescent="0.25">
      <c r="A30" s="71" t="s">
        <v>184</v>
      </c>
      <c r="B30" s="68" t="s">
        <v>48</v>
      </c>
      <c r="C30" s="69">
        <v>39690.730000000003</v>
      </c>
    </row>
    <row r="31" spans="1:3" x14ac:dyDescent="0.25">
      <c r="A31" s="71" t="s">
        <v>185</v>
      </c>
      <c r="B31" s="68" t="s">
        <v>49</v>
      </c>
      <c r="C31" s="69">
        <v>2713</v>
      </c>
    </row>
    <row r="32" spans="1:3" x14ac:dyDescent="0.25">
      <c r="A32" s="71" t="s">
        <v>186</v>
      </c>
      <c r="B32" s="68" t="s">
        <v>51</v>
      </c>
      <c r="C32" s="69">
        <v>0</v>
      </c>
    </row>
    <row r="33" spans="1:3" x14ac:dyDescent="0.25">
      <c r="A33" s="71" t="s">
        <v>187</v>
      </c>
      <c r="B33" s="68" t="s">
        <v>53</v>
      </c>
      <c r="C33" s="69">
        <v>1740</v>
      </c>
    </row>
    <row r="34" spans="1:3" x14ac:dyDescent="0.25">
      <c r="A34" s="71" t="s">
        <v>188</v>
      </c>
      <c r="B34" s="68" t="s">
        <v>54</v>
      </c>
      <c r="C34" s="69">
        <v>43892.12</v>
      </c>
    </row>
    <row r="35" spans="1:3" x14ac:dyDescent="0.25">
      <c r="A35" s="71" t="s">
        <v>189</v>
      </c>
      <c r="B35" s="68" t="s">
        <v>55</v>
      </c>
      <c r="C35" s="69">
        <v>400</v>
      </c>
    </row>
    <row r="36" spans="1:3" x14ac:dyDescent="0.25">
      <c r="A36" s="71" t="s">
        <v>190</v>
      </c>
      <c r="B36" s="68" t="s">
        <v>153</v>
      </c>
      <c r="C36" s="69">
        <v>0</v>
      </c>
    </row>
    <row r="37" spans="1:3" x14ac:dyDescent="0.25">
      <c r="A37" s="71" t="s">
        <v>191</v>
      </c>
      <c r="B37" s="68" t="s">
        <v>56</v>
      </c>
      <c r="C37" s="69">
        <v>124511.65</v>
      </c>
    </row>
    <row r="38" spans="1:3" x14ac:dyDescent="0.25">
      <c r="A38" s="71" t="s">
        <v>192</v>
      </c>
      <c r="B38" s="68" t="s">
        <v>57</v>
      </c>
      <c r="C38" s="69">
        <v>2125.5</v>
      </c>
    </row>
    <row r="39" spans="1:3" x14ac:dyDescent="0.25">
      <c r="A39" s="71" t="s">
        <v>193</v>
      </c>
      <c r="B39" s="68" t="s">
        <v>58</v>
      </c>
      <c r="C39" s="69">
        <v>0</v>
      </c>
    </row>
    <row r="40" spans="1:3" x14ac:dyDescent="0.25">
      <c r="A40" s="71" t="s">
        <v>194</v>
      </c>
      <c r="B40" s="68" t="s">
        <v>59</v>
      </c>
      <c r="C40" s="69">
        <v>5116.0200000000004</v>
      </c>
    </row>
    <row r="41" spans="1:3" x14ac:dyDescent="0.25">
      <c r="A41" s="71" t="s">
        <v>195</v>
      </c>
      <c r="B41" s="68" t="s">
        <v>60</v>
      </c>
      <c r="C41" s="69">
        <v>3399.53</v>
      </c>
    </row>
    <row r="42" spans="1:3" x14ac:dyDescent="0.25">
      <c r="A42" s="71" t="s">
        <v>196</v>
      </c>
      <c r="B42" s="68" t="s">
        <v>61</v>
      </c>
      <c r="C42" s="69">
        <v>16948.88</v>
      </c>
    </row>
    <row r="43" spans="1:3" x14ac:dyDescent="0.25">
      <c r="A43" s="71" t="s">
        <v>197</v>
      </c>
      <c r="B43" s="68" t="s">
        <v>154</v>
      </c>
      <c r="C43" s="69">
        <v>449709.04</v>
      </c>
    </row>
    <row r="44" spans="1:3" x14ac:dyDescent="0.25">
      <c r="A44" s="71" t="s">
        <v>198</v>
      </c>
      <c r="B44" s="68" t="s">
        <v>63</v>
      </c>
      <c r="C44" s="69">
        <v>8256.86</v>
      </c>
    </row>
    <row r="45" spans="1:3" x14ac:dyDescent="0.25">
      <c r="A45" s="71" t="s">
        <v>199</v>
      </c>
      <c r="B45" s="68" t="s">
        <v>155</v>
      </c>
      <c r="C45" s="69">
        <v>7304.84</v>
      </c>
    </row>
    <row r="46" spans="1:3" x14ac:dyDescent="0.25">
      <c r="A46" s="71" t="s">
        <v>200</v>
      </c>
      <c r="B46" s="68" t="s">
        <v>94</v>
      </c>
      <c r="C46" s="69">
        <v>8455</v>
      </c>
    </row>
    <row r="47" spans="1:3" x14ac:dyDescent="0.25">
      <c r="A47" s="71" t="s">
        <v>201</v>
      </c>
      <c r="B47" s="68" t="s">
        <v>156</v>
      </c>
      <c r="C47" s="69">
        <v>6275</v>
      </c>
    </row>
    <row r="48" spans="1:3" x14ac:dyDescent="0.25">
      <c r="A48" s="71" t="s">
        <v>202</v>
      </c>
      <c r="B48" s="68" t="s">
        <v>65</v>
      </c>
      <c r="C48" s="69">
        <v>2164.36</v>
      </c>
    </row>
    <row r="49" spans="1:3" x14ac:dyDescent="0.25">
      <c r="A49" s="71" t="s">
        <v>203</v>
      </c>
      <c r="B49" s="68" t="s">
        <v>66</v>
      </c>
      <c r="C49" s="69">
        <v>4510.1000000000004</v>
      </c>
    </row>
    <row r="50" spans="1:3" x14ac:dyDescent="0.25">
      <c r="A50" s="71" t="s">
        <v>204</v>
      </c>
      <c r="B50" s="68" t="s">
        <v>67</v>
      </c>
      <c r="C50" s="69">
        <v>0</v>
      </c>
    </row>
    <row r="51" spans="1:3" x14ac:dyDescent="0.25">
      <c r="A51" s="71" t="s">
        <v>205</v>
      </c>
      <c r="B51" s="68" t="s">
        <v>68</v>
      </c>
      <c r="C51" s="69">
        <v>14500</v>
      </c>
    </row>
    <row r="52" spans="1:3" x14ac:dyDescent="0.25">
      <c r="A52" s="71" t="s">
        <v>206</v>
      </c>
      <c r="B52" s="68" t="s">
        <v>69</v>
      </c>
      <c r="C52" s="69">
        <v>464126.4</v>
      </c>
    </row>
    <row r="53" spans="1:3" x14ac:dyDescent="0.25">
      <c r="A53" s="71" t="s">
        <v>207</v>
      </c>
      <c r="B53" s="68" t="s">
        <v>70</v>
      </c>
      <c r="C53" s="69">
        <v>0</v>
      </c>
    </row>
    <row r="54" spans="1:3" x14ac:dyDescent="0.25">
      <c r="A54" s="71" t="s">
        <v>208</v>
      </c>
      <c r="B54" s="68" t="s">
        <v>157</v>
      </c>
      <c r="C54" s="69">
        <v>9850</v>
      </c>
    </row>
    <row r="55" spans="1:3" x14ac:dyDescent="0.25">
      <c r="A55" s="71" t="s">
        <v>209</v>
      </c>
      <c r="B55" s="68" t="s">
        <v>73</v>
      </c>
      <c r="C55" s="69">
        <v>19246.66</v>
      </c>
    </row>
    <row r="56" spans="1:3" x14ac:dyDescent="0.25">
      <c r="A56" s="71" t="s">
        <v>210</v>
      </c>
      <c r="B56" s="68" t="s">
        <v>74</v>
      </c>
      <c r="C56" s="69">
        <v>22914.17</v>
      </c>
    </row>
    <row r="57" spans="1:3" x14ac:dyDescent="0.25">
      <c r="A57" s="71" t="s">
        <v>211</v>
      </c>
      <c r="B57" s="68" t="s">
        <v>75</v>
      </c>
      <c r="C57" s="69">
        <v>15064.63</v>
      </c>
    </row>
    <row r="58" spans="1:3" x14ac:dyDescent="0.25">
      <c r="A58" s="71" t="s">
        <v>212</v>
      </c>
      <c r="B58" s="68" t="s">
        <v>76</v>
      </c>
      <c r="C58" s="69">
        <v>543.02</v>
      </c>
    </row>
    <row r="59" spans="1:3" x14ac:dyDescent="0.25">
      <c r="A59" s="71" t="s">
        <v>213</v>
      </c>
      <c r="B59" s="68" t="s">
        <v>77</v>
      </c>
      <c r="C59" s="69">
        <v>216.09</v>
      </c>
    </row>
    <row r="60" spans="1:3" x14ac:dyDescent="0.25">
      <c r="A60" s="71" t="s">
        <v>214</v>
      </c>
      <c r="B60" s="68" t="s">
        <v>78</v>
      </c>
      <c r="C60" s="69">
        <v>123878.42</v>
      </c>
    </row>
    <row r="61" spans="1:3" x14ac:dyDescent="0.25">
      <c r="A61" s="71" t="s">
        <v>215</v>
      </c>
      <c r="B61" s="68" t="s">
        <v>79</v>
      </c>
      <c r="C61" s="69">
        <v>3.84</v>
      </c>
    </row>
    <row r="62" spans="1:3" x14ac:dyDescent="0.25">
      <c r="A62" s="71" t="s">
        <v>216</v>
      </c>
      <c r="B62" s="68" t="s">
        <v>80</v>
      </c>
      <c r="C62" s="69">
        <v>215000</v>
      </c>
    </row>
    <row r="63" spans="1:3" ht="17.25" x14ac:dyDescent="0.4">
      <c r="A63" s="71" t="s">
        <v>217</v>
      </c>
      <c r="B63" s="68" t="s">
        <v>81</v>
      </c>
      <c r="C63" s="70">
        <v>19750</v>
      </c>
    </row>
  </sheetData>
  <pageMargins left="0.7" right="0.7" top="0.75" bottom="0.75" header="0.3" footer="0.3"/>
  <pageSetup orientation="portrait" horizontalDpi="200" verticalDpi="200" r:id="rId1"/>
  <customProperties>
    <customPr name="Epm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2021 Projection</vt:lpstr>
      <vt:lpstr>vmp 2019_2020 budget</vt:lpstr>
      <vt:lpstr>Sheet1</vt:lpstr>
      <vt:lpstr>'2021 Projection'!Print_Area</vt:lpstr>
      <vt:lpstr>'vmp 2019_2020 budget'!Print_Area</vt:lpstr>
      <vt:lpstr>'2021 Projection'!Print_Titles</vt:lpstr>
      <vt:lpstr>'vmp 2019_2020 budget'!Print_Titles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Alan Yu</dc:creator>
  <cp:keywords/>
  <dc:description/>
  <cp:lastModifiedBy>User</cp:lastModifiedBy>
  <cp:lastPrinted>2020-03-10T23:03:33Z</cp:lastPrinted>
  <dcterms:created xsi:type="dcterms:W3CDTF">2020-03-03T19:52:13Z</dcterms:created>
  <dcterms:modified xsi:type="dcterms:W3CDTF">2022-05-04T16:27:22Z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a60d57e-af5b-4752-ac57-3e4f28ca11dc_Enabled">
    <vt:lpwstr>true</vt:lpwstr>
  </property>
  <property fmtid="{D5CDD505-2E9C-101B-9397-08002B2CF9AE}" pid="3" name="MSIP_Label_ea60d57e-af5b-4752-ac57-3e4f28ca11dc_SetDate">
    <vt:lpwstr>2022-02-01T16:04:59Z</vt:lpwstr>
  </property>
  <property fmtid="{D5CDD505-2E9C-101B-9397-08002B2CF9AE}" pid="4" name="MSIP_Label_ea60d57e-af5b-4752-ac57-3e4f28ca11dc_Method">
    <vt:lpwstr>Standard</vt:lpwstr>
  </property>
  <property fmtid="{D5CDD505-2E9C-101B-9397-08002B2CF9AE}" pid="5" name="MSIP_Label_ea60d57e-af5b-4752-ac57-3e4f28ca11dc_Name">
    <vt:lpwstr>ea60d57e-af5b-4752-ac57-3e4f28ca11dc</vt:lpwstr>
  </property>
  <property fmtid="{D5CDD505-2E9C-101B-9397-08002B2CF9AE}" pid="6" name="MSIP_Label_ea60d57e-af5b-4752-ac57-3e4f28ca11dc_SiteId">
    <vt:lpwstr>36da45f1-dd2c-4d1f-af13-5abe46b99921</vt:lpwstr>
  </property>
  <property fmtid="{D5CDD505-2E9C-101B-9397-08002B2CF9AE}" pid="7" name="MSIP_Label_ea60d57e-af5b-4752-ac57-3e4f28ca11dc_ActionId">
    <vt:lpwstr>31a2b09b-2659-49f3-a7cc-551517fd65ce</vt:lpwstr>
  </property>
  <property fmtid="{D5CDD505-2E9C-101B-9397-08002B2CF9AE}" pid="8" name="MSIP_Label_ea60d57e-af5b-4752-ac57-3e4f28ca11dc_ContentBits">
    <vt:lpwstr>0</vt:lpwstr>
  </property>
</Properties>
</file>